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 firstSheet="2" activeTab="2"/>
  </bookViews>
  <sheets>
    <sheet name="План меропр. 2015-2017" sheetId="3" state="hidden" r:id="rId1"/>
    <sheet name="План меропр. 2018-2030 г. изм. " sheetId="11" state="hidden" r:id="rId2"/>
    <sheet name="на печать" sheetId="12" r:id="rId3"/>
  </sheets>
  <definedNames>
    <definedName name="_xlnm.Print_Titles" localSheetId="2">'на печать'!$5:$8</definedName>
    <definedName name="_xlnm.Print_Titles" localSheetId="0">'План меропр. 2015-2017'!$6:$9</definedName>
    <definedName name="_xlnm.Print_Titles" localSheetId="1">'План меропр. 2018-2030 г. изм. '!$5:$8</definedName>
    <definedName name="_xlnm.Print_Area" localSheetId="2">'на печать'!$A$2:$O$1230</definedName>
    <definedName name="_xlnm.Print_Area" localSheetId="0">'План меропр. 2015-2017'!$A$1:$I$661</definedName>
    <definedName name="_xlnm.Print_Area" localSheetId="1">'План меропр. 2018-2030 г. изм. '!$A$2:$AP$1217</definedName>
  </definedNames>
  <calcPr calcId="152511"/>
</workbook>
</file>

<file path=xl/calcChain.xml><?xml version="1.0" encoding="utf-8"?>
<calcChain xmlns="http://schemas.openxmlformats.org/spreadsheetml/2006/main">
  <c r="F731" i="12" l="1"/>
  <c r="F730" i="12"/>
  <c r="F729" i="12"/>
  <c r="E729" i="12" s="1"/>
  <c r="F469" i="12"/>
  <c r="G469" i="12"/>
  <c r="H469" i="12"/>
  <c r="I469" i="12"/>
  <c r="J469" i="12"/>
  <c r="F247" i="12" l="1"/>
  <c r="G247" i="12"/>
  <c r="H247" i="12"/>
  <c r="I247" i="12"/>
  <c r="J247" i="12"/>
  <c r="E248" i="12"/>
  <c r="E247" i="12" s="1"/>
  <c r="F84" i="12" l="1"/>
  <c r="G84" i="12"/>
  <c r="G865" i="12"/>
  <c r="I855" i="12"/>
  <c r="F861" i="12"/>
  <c r="G861" i="12"/>
  <c r="H861" i="12"/>
  <c r="I861" i="12"/>
  <c r="F956" i="12"/>
  <c r="F943" i="12" s="1"/>
  <c r="F904" i="12"/>
  <c r="F891" i="12" s="1"/>
  <c r="F771" i="12"/>
  <c r="G771" i="12"/>
  <c r="H771" i="12"/>
  <c r="I771" i="12"/>
  <c r="F770" i="12"/>
  <c r="G770" i="12"/>
  <c r="H770" i="12"/>
  <c r="I770" i="12"/>
  <c r="J770" i="12"/>
  <c r="F707" i="12"/>
  <c r="G707" i="12"/>
  <c r="H707" i="12"/>
  <c r="I707" i="12"/>
  <c r="J707" i="12"/>
  <c r="F577" i="12"/>
  <c r="G577" i="12"/>
  <c r="H577" i="12"/>
  <c r="I577" i="12"/>
  <c r="J577" i="12"/>
  <c r="I624" i="12"/>
  <c r="F153" i="12"/>
  <c r="G153" i="12"/>
  <c r="H153" i="12"/>
  <c r="F149" i="12"/>
  <c r="G149" i="12"/>
  <c r="H149" i="12"/>
  <c r="F144" i="12"/>
  <c r="G144" i="12"/>
  <c r="H144" i="12"/>
  <c r="F140" i="12"/>
  <c r="G140" i="12"/>
  <c r="H140" i="12"/>
  <c r="F136" i="12"/>
  <c r="G136" i="12"/>
  <c r="H136" i="12"/>
  <c r="F132" i="12"/>
  <c r="G132" i="12"/>
  <c r="H132" i="12"/>
  <c r="F100" i="12"/>
  <c r="G100" i="12"/>
  <c r="H100" i="12"/>
  <c r="F91" i="12"/>
  <c r="G91" i="12"/>
  <c r="H91" i="12"/>
  <c r="H264" i="12"/>
  <c r="H255" i="12"/>
  <c r="H232" i="12"/>
  <c r="H228" i="12"/>
  <c r="H199" i="12"/>
  <c r="H192" i="12"/>
  <c r="H185" i="12"/>
  <c r="H131" i="12"/>
  <c r="H130" i="12"/>
  <c r="G115" i="12"/>
  <c r="H115" i="12"/>
  <c r="F521" i="12"/>
  <c r="F359" i="12"/>
  <c r="G359" i="12"/>
  <c r="H359" i="12"/>
  <c r="I359" i="12"/>
  <c r="J359" i="12"/>
  <c r="I91" i="12"/>
  <c r="J91" i="12"/>
  <c r="F264" i="12" l="1"/>
  <c r="G264" i="12"/>
  <c r="F82" i="12"/>
  <c r="G82" i="12"/>
  <c r="H82" i="12"/>
  <c r="G81" i="12"/>
  <c r="H81" i="12"/>
  <c r="F80" i="12"/>
  <c r="G80" i="12"/>
  <c r="H80" i="12"/>
  <c r="I80" i="12"/>
  <c r="F87" i="12"/>
  <c r="G87" i="12"/>
  <c r="H87" i="12"/>
  <c r="I87" i="12"/>
  <c r="J87" i="12"/>
  <c r="E86" i="12"/>
  <c r="I84" i="12"/>
  <c r="J84" i="12"/>
  <c r="F103" i="12"/>
  <c r="G103" i="12"/>
  <c r="H103" i="12"/>
  <c r="I103" i="12"/>
  <c r="J103" i="12"/>
  <c r="I100" i="12"/>
  <c r="J100" i="12"/>
  <c r="F269" i="12"/>
  <c r="F192" i="12"/>
  <c r="G192" i="12"/>
  <c r="I192" i="12"/>
  <c r="J192" i="12"/>
  <c r="G106" i="12"/>
  <c r="H106" i="12"/>
  <c r="I106" i="12"/>
  <c r="J106" i="12"/>
  <c r="I823" i="12"/>
  <c r="I815" i="12"/>
  <c r="I811" i="12"/>
  <c r="I807" i="12"/>
  <c r="I775" i="12"/>
  <c r="I776" i="12"/>
  <c r="I501" i="12"/>
  <c r="F290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89" i="12"/>
  <c r="K90" i="12"/>
  <c r="K91" i="12"/>
  <c r="K92" i="12"/>
  <c r="K93" i="12"/>
  <c r="K94" i="12"/>
  <c r="K95" i="12"/>
  <c r="K96" i="12"/>
  <c r="K97" i="12"/>
  <c r="K98" i="12"/>
  <c r="K99" i="12"/>
  <c r="K101" i="12"/>
  <c r="K102" i="12"/>
  <c r="K104" i="12"/>
  <c r="K105" i="12"/>
  <c r="K108" i="12"/>
  <c r="K109" i="12"/>
  <c r="K110" i="12"/>
  <c r="K111" i="12"/>
  <c r="K112" i="12"/>
  <c r="K113" i="12"/>
  <c r="K114" i="12"/>
  <c r="K119" i="12"/>
  <c r="K120" i="12"/>
  <c r="K121" i="12"/>
  <c r="K122" i="12"/>
  <c r="K123" i="12"/>
  <c r="K133" i="12"/>
  <c r="K134" i="12"/>
  <c r="K135" i="12"/>
  <c r="K137" i="12"/>
  <c r="K138" i="12"/>
  <c r="K139" i="12"/>
  <c r="K141" i="12"/>
  <c r="K142" i="12"/>
  <c r="K143" i="12"/>
  <c r="K145" i="12"/>
  <c r="K146" i="12"/>
  <c r="K147" i="12"/>
  <c r="K148" i="12"/>
  <c r="K150" i="12"/>
  <c r="K151" i="12"/>
  <c r="K152" i="12"/>
  <c r="K154" i="12"/>
  <c r="K155" i="12"/>
  <c r="K157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9" i="12"/>
  <c r="K181" i="12"/>
  <c r="K183" i="12"/>
  <c r="K184" i="12"/>
  <c r="K186" i="12"/>
  <c r="K187" i="12"/>
  <c r="K188" i="12"/>
  <c r="K190" i="12"/>
  <c r="K191" i="12"/>
  <c r="K193" i="12"/>
  <c r="K194" i="12"/>
  <c r="K196" i="12"/>
  <c r="K198" i="12"/>
  <c r="K200" i="12"/>
  <c r="K201" i="12"/>
  <c r="K203" i="12"/>
  <c r="K204" i="12"/>
  <c r="K206" i="12"/>
  <c r="K207" i="12"/>
  <c r="K209" i="12"/>
  <c r="K210" i="12"/>
  <c r="K212" i="12"/>
  <c r="K213" i="12"/>
  <c r="K215" i="12"/>
  <c r="K216" i="12"/>
  <c r="K218" i="12"/>
  <c r="K219" i="12"/>
  <c r="K221" i="12"/>
  <c r="K222" i="12"/>
  <c r="K224" i="12"/>
  <c r="K226" i="12"/>
  <c r="K227" i="12"/>
  <c r="K229" i="12"/>
  <c r="K230" i="12"/>
  <c r="K231" i="12"/>
  <c r="K233" i="12"/>
  <c r="K234" i="12"/>
  <c r="K236" i="12"/>
  <c r="K238" i="12"/>
  <c r="K240" i="12"/>
  <c r="K242" i="12"/>
  <c r="K244" i="12"/>
  <c r="K246" i="12"/>
  <c r="K250" i="12"/>
  <c r="K252" i="12"/>
  <c r="K254" i="12"/>
  <c r="K256" i="12"/>
  <c r="K258" i="12"/>
  <c r="K260" i="12"/>
  <c r="K262" i="12"/>
  <c r="K263" i="12"/>
  <c r="K265" i="12"/>
  <c r="K266" i="12"/>
  <c r="K267" i="12"/>
  <c r="K276" i="12"/>
  <c r="K277" i="12"/>
  <c r="K278" i="12"/>
  <c r="K279" i="12"/>
  <c r="K281" i="12"/>
  <c r="K282" i="12"/>
  <c r="K283" i="12"/>
  <c r="K284" i="12"/>
  <c r="K285" i="12"/>
  <c r="K286" i="12"/>
  <c r="K287" i="12"/>
  <c r="K302" i="12"/>
  <c r="K304" i="12"/>
  <c r="K306" i="12"/>
  <c r="K308" i="12"/>
  <c r="K310" i="12"/>
  <c r="K312" i="12"/>
  <c r="K314" i="12"/>
  <c r="K316" i="12"/>
  <c r="K318" i="12"/>
  <c r="K319" i="12"/>
  <c r="K321" i="12"/>
  <c r="K322" i="12"/>
  <c r="K326" i="12"/>
  <c r="K327" i="12"/>
  <c r="K328" i="12"/>
  <c r="K329" i="12"/>
  <c r="K331" i="12"/>
  <c r="K332" i="12"/>
  <c r="K334" i="12"/>
  <c r="K335" i="12"/>
  <c r="K336" i="12"/>
  <c r="K337" i="12"/>
  <c r="K338" i="12"/>
  <c r="K339" i="12"/>
  <c r="K340" i="12"/>
  <c r="K341" i="12"/>
  <c r="K343" i="12"/>
  <c r="K345" i="12"/>
  <c r="K347" i="12"/>
  <c r="K348" i="12"/>
  <c r="K350" i="12"/>
  <c r="K351" i="12"/>
  <c r="K352" i="12"/>
  <c r="K354" i="12"/>
  <c r="K356" i="12"/>
  <c r="K357" i="12"/>
  <c r="K358" i="12"/>
  <c r="K360" i="12"/>
  <c r="K359" i="12" s="1"/>
  <c r="K362" i="12"/>
  <c r="K364" i="12"/>
  <c r="K365" i="12"/>
  <c r="K367" i="12"/>
  <c r="K369" i="12"/>
  <c r="K371" i="12"/>
  <c r="K373" i="12"/>
  <c r="K374" i="12"/>
  <c r="K386" i="12"/>
  <c r="K388" i="12"/>
  <c r="K390" i="12"/>
  <c r="K392" i="12"/>
  <c r="K394" i="12"/>
  <c r="K396" i="12"/>
  <c r="K397" i="12"/>
  <c r="K399" i="12"/>
  <c r="K401" i="12"/>
  <c r="K403" i="12"/>
  <c r="K405" i="12"/>
  <c r="K407" i="12"/>
  <c r="K408" i="12"/>
  <c r="K410" i="12"/>
  <c r="K412" i="12"/>
  <c r="K414" i="12"/>
  <c r="K432" i="12"/>
  <c r="K433" i="12"/>
  <c r="K435" i="12"/>
  <c r="K436" i="12"/>
  <c r="K437" i="12"/>
  <c r="K438" i="12"/>
  <c r="K439" i="12"/>
  <c r="K440" i="12"/>
  <c r="K441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84" i="12"/>
  <c r="K485" i="12"/>
  <c r="K486" i="12"/>
  <c r="K487" i="12"/>
  <c r="K488" i="12"/>
  <c r="K489" i="12"/>
  <c r="K491" i="12"/>
  <c r="K492" i="12"/>
  <c r="K493" i="12"/>
  <c r="K494" i="12"/>
  <c r="K495" i="12"/>
  <c r="K496" i="12"/>
  <c r="K498" i="12"/>
  <c r="K499" i="12"/>
  <c r="K500" i="12"/>
  <c r="K502" i="12"/>
  <c r="K503" i="12"/>
  <c r="K504" i="12"/>
  <c r="K505" i="12"/>
  <c r="K506" i="12"/>
  <c r="K507" i="12"/>
  <c r="K509" i="12"/>
  <c r="K511" i="12"/>
  <c r="K512" i="12"/>
  <c r="K514" i="12"/>
  <c r="K515" i="12"/>
  <c r="K516" i="12"/>
  <c r="K517" i="12"/>
  <c r="K518" i="12"/>
  <c r="K519" i="12"/>
  <c r="K520" i="12"/>
  <c r="K522" i="12"/>
  <c r="K523" i="12"/>
  <c r="K527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62" i="12"/>
  <c r="K563" i="12"/>
  <c r="K564" i="12"/>
  <c r="K565" i="12"/>
  <c r="K566" i="12"/>
  <c r="K567" i="12"/>
  <c r="K577" i="12"/>
  <c r="K582" i="12"/>
  <c r="K583" i="12"/>
  <c r="K584" i="12"/>
  <c r="K585" i="12"/>
  <c r="K587" i="12"/>
  <c r="K589" i="12"/>
  <c r="K591" i="12"/>
  <c r="K593" i="12"/>
  <c r="K595" i="12"/>
  <c r="K597" i="12"/>
  <c r="K599" i="12"/>
  <c r="K601" i="12"/>
  <c r="K603" i="12"/>
  <c r="K605" i="12"/>
  <c r="K607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5" i="12"/>
  <c r="K626" i="12"/>
  <c r="K627" i="12"/>
  <c r="K628" i="12"/>
  <c r="K629" i="12"/>
  <c r="K630" i="12"/>
  <c r="K631" i="12"/>
  <c r="K632" i="12"/>
  <c r="K633" i="12"/>
  <c r="K646" i="12"/>
  <c r="K647" i="12"/>
  <c r="K651" i="12"/>
  <c r="K652" i="12"/>
  <c r="K656" i="12"/>
  <c r="K657" i="12"/>
  <c r="K666" i="12"/>
  <c r="K667" i="12"/>
  <c r="K668" i="12"/>
  <c r="K669" i="12"/>
  <c r="K670" i="12"/>
  <c r="K671" i="12"/>
  <c r="K672" i="12"/>
  <c r="K674" i="12"/>
  <c r="K676" i="12"/>
  <c r="K678" i="12"/>
  <c r="K680" i="12"/>
  <c r="K681" i="12"/>
  <c r="K682" i="12"/>
  <c r="K683" i="12"/>
  <c r="K684" i="12"/>
  <c r="K685" i="12"/>
  <c r="K687" i="12"/>
  <c r="K688" i="12"/>
  <c r="K689" i="12"/>
  <c r="K690" i="12"/>
  <c r="K691" i="12"/>
  <c r="K692" i="12"/>
  <c r="K694" i="12"/>
  <c r="K696" i="12"/>
  <c r="K698" i="12"/>
  <c r="K699" i="12"/>
  <c r="K701" i="12"/>
  <c r="K702" i="12"/>
  <c r="K703" i="12"/>
  <c r="K704" i="12"/>
  <c r="K707" i="12"/>
  <c r="K711" i="12"/>
  <c r="K712" i="12"/>
  <c r="K713" i="12"/>
  <c r="K715" i="12"/>
  <c r="K716" i="12"/>
  <c r="K717" i="12"/>
  <c r="K719" i="12"/>
  <c r="K720" i="12"/>
  <c r="K722" i="12"/>
  <c r="K724" i="12"/>
  <c r="K725" i="12"/>
  <c r="K726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4" i="12"/>
  <c r="K755" i="12"/>
  <c r="K757" i="12"/>
  <c r="K758" i="12"/>
  <c r="K759" i="12"/>
  <c r="K770" i="12"/>
  <c r="K777" i="12"/>
  <c r="K778" i="12"/>
  <c r="K779" i="12"/>
  <c r="K780" i="12"/>
  <c r="K781" i="12"/>
  <c r="K782" i="12"/>
  <c r="K784" i="12"/>
  <c r="K785" i="12"/>
  <c r="K786" i="12"/>
  <c r="K788" i="12"/>
  <c r="K789" i="12"/>
  <c r="K791" i="12"/>
  <c r="K792" i="12"/>
  <c r="K793" i="12"/>
  <c r="K795" i="12"/>
  <c r="K796" i="12"/>
  <c r="K798" i="12"/>
  <c r="K800" i="12"/>
  <c r="K801" i="12"/>
  <c r="K803" i="12"/>
  <c r="K804" i="12"/>
  <c r="K806" i="12"/>
  <c r="K808" i="12"/>
  <c r="K809" i="12"/>
  <c r="K810" i="12"/>
  <c r="K812" i="12"/>
  <c r="K813" i="12"/>
  <c r="K814" i="12"/>
  <c r="K816" i="12"/>
  <c r="K817" i="12"/>
  <c r="K818" i="12"/>
  <c r="K820" i="12"/>
  <c r="K822" i="12"/>
  <c r="K824" i="12"/>
  <c r="K825" i="12"/>
  <c r="K827" i="12"/>
  <c r="K828" i="12"/>
  <c r="K856" i="12"/>
  <c r="K857" i="12"/>
  <c r="K858" i="12"/>
  <c r="K859" i="12"/>
  <c r="K860" i="12"/>
  <c r="K862" i="12"/>
  <c r="K863" i="12"/>
  <c r="K864" i="12"/>
  <c r="K866" i="12"/>
  <c r="K867" i="12"/>
  <c r="K868" i="12"/>
  <c r="K869" i="12"/>
  <c r="K870" i="12"/>
  <c r="K871" i="12"/>
  <c r="K872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63" i="12"/>
  <c r="K1064" i="12"/>
  <c r="K1065" i="12"/>
  <c r="K1067" i="12"/>
  <c r="K1068" i="12"/>
  <c r="K1069" i="12"/>
  <c r="K1070" i="12"/>
  <c r="K1071" i="12"/>
  <c r="K1072" i="12"/>
  <c r="K1073" i="12"/>
  <c r="K1085" i="12"/>
  <c r="K1087" i="12"/>
  <c r="K1089" i="12"/>
  <c r="K1091" i="12"/>
  <c r="K1093" i="12"/>
  <c r="K1101" i="12"/>
  <c r="K1103" i="12"/>
  <c r="K1105" i="12"/>
  <c r="K1107" i="12"/>
  <c r="K1109" i="12"/>
  <c r="K1111" i="12"/>
  <c r="K1113" i="12"/>
  <c r="K1115" i="12"/>
  <c r="K1117" i="12"/>
  <c r="K1140" i="12"/>
  <c r="K1141" i="12"/>
  <c r="K1142" i="12"/>
  <c r="K1143" i="12"/>
  <c r="K1144" i="12"/>
  <c r="K1145" i="12"/>
  <c r="K1146" i="12"/>
  <c r="K1147" i="12"/>
  <c r="K1157" i="12"/>
  <c r="K1158" i="12"/>
  <c r="K1159" i="12"/>
  <c r="K1160" i="12"/>
  <c r="K1161" i="12"/>
  <c r="K1162" i="12"/>
  <c r="K1163" i="12"/>
  <c r="K1164" i="12"/>
  <c r="K1166" i="12"/>
  <c r="K1167" i="12"/>
  <c r="K1168" i="12"/>
  <c r="K1169" i="12"/>
  <c r="K1170" i="12"/>
  <c r="K1171" i="12"/>
  <c r="K1172" i="12"/>
  <c r="K1187" i="12"/>
  <c r="K1188" i="12"/>
  <c r="K1189" i="12"/>
  <c r="K1190" i="12"/>
  <c r="K1191" i="12"/>
  <c r="K1192" i="12"/>
  <c r="K1193" i="12"/>
  <c r="K1194" i="12"/>
  <c r="K1195" i="12"/>
  <c r="K1196" i="12"/>
  <c r="K1197" i="12"/>
  <c r="K1198" i="12"/>
  <c r="K1200" i="12"/>
  <c r="K1214" i="12"/>
  <c r="K1216" i="12"/>
  <c r="K1217" i="12"/>
  <c r="K1218" i="12"/>
  <c r="K1219" i="12"/>
  <c r="K1220" i="12"/>
  <c r="K1221" i="12"/>
  <c r="K1228" i="12"/>
  <c r="F24" i="12"/>
  <c r="G24" i="12"/>
  <c r="H24" i="12"/>
  <c r="I24" i="12"/>
  <c r="J24" i="12"/>
  <c r="F23" i="12"/>
  <c r="G23" i="12"/>
  <c r="H23" i="12"/>
  <c r="I23" i="12"/>
  <c r="J23" i="12"/>
  <c r="F298" i="12"/>
  <c r="G298" i="12"/>
  <c r="F296" i="12"/>
  <c r="G296" i="12"/>
  <c r="H296" i="12"/>
  <c r="I296" i="12"/>
  <c r="J296" i="12"/>
  <c r="F295" i="12"/>
  <c r="G295" i="12"/>
  <c r="H295" i="12"/>
  <c r="I295" i="12"/>
  <c r="J295" i="12"/>
  <c r="F294" i="12"/>
  <c r="G294" i="12"/>
  <c r="H294" i="12"/>
  <c r="I294" i="12"/>
  <c r="J294" i="12"/>
  <c r="F293" i="12"/>
  <c r="G293" i="12"/>
  <c r="H293" i="12"/>
  <c r="I293" i="12"/>
  <c r="J293" i="12"/>
  <c r="F292" i="12"/>
  <c r="H292" i="12"/>
  <c r="F291" i="12"/>
  <c r="G291" i="12"/>
  <c r="H291" i="12"/>
  <c r="I291" i="12"/>
  <c r="J291" i="12"/>
  <c r="F323" i="12"/>
  <c r="K323" i="12" s="1"/>
  <c r="F199" i="12"/>
  <c r="G199" i="12"/>
  <c r="I199" i="12"/>
  <c r="J199" i="12"/>
  <c r="J149" i="12"/>
  <c r="I149" i="12"/>
  <c r="I132" i="12"/>
  <c r="F208" i="12"/>
  <c r="G208" i="12"/>
  <c r="H208" i="12"/>
  <c r="I208" i="12"/>
  <c r="J208" i="12"/>
  <c r="F225" i="12"/>
  <c r="G225" i="12"/>
  <c r="H225" i="12"/>
  <c r="I225" i="12"/>
  <c r="J225" i="12"/>
  <c r="F253" i="12"/>
  <c r="G253" i="12"/>
  <c r="H253" i="12"/>
  <c r="I253" i="12"/>
  <c r="J253" i="12"/>
  <c r="E254" i="12"/>
  <c r="E253" i="12" s="1"/>
  <c r="F251" i="12"/>
  <c r="G251" i="12"/>
  <c r="H251" i="12"/>
  <c r="I251" i="12"/>
  <c r="J251" i="12"/>
  <c r="E252" i="12"/>
  <c r="E251" i="12" s="1"/>
  <c r="F249" i="12"/>
  <c r="G249" i="12"/>
  <c r="H249" i="12"/>
  <c r="I249" i="12"/>
  <c r="J249" i="12"/>
  <c r="E250" i="12"/>
  <c r="F245" i="12"/>
  <c r="G245" i="12"/>
  <c r="H245" i="12"/>
  <c r="I245" i="12"/>
  <c r="J245" i="12"/>
  <c r="E246" i="12"/>
  <c r="E245" i="12" s="1"/>
  <c r="F243" i="12"/>
  <c r="G243" i="12"/>
  <c r="H243" i="12"/>
  <c r="I243" i="12"/>
  <c r="J243" i="12"/>
  <c r="E244" i="12"/>
  <c r="E243" i="12" s="1"/>
  <c r="F1165" i="12"/>
  <c r="G1165" i="12"/>
  <c r="H1165" i="12"/>
  <c r="I1165" i="12"/>
  <c r="J1165" i="12"/>
  <c r="E1167" i="12"/>
  <c r="E1168" i="12"/>
  <c r="E1169" i="12"/>
  <c r="E1170" i="12"/>
  <c r="E1171" i="12"/>
  <c r="E1172" i="12"/>
  <c r="E1166" i="12"/>
  <c r="K100" i="12" l="1"/>
  <c r="K87" i="12"/>
  <c r="E249" i="12"/>
  <c r="K192" i="12"/>
  <c r="K103" i="12"/>
  <c r="K1165" i="12"/>
  <c r="K294" i="12"/>
  <c r="E1165" i="12"/>
  <c r="K149" i="12"/>
  <c r="K291" i="12"/>
  <c r="K243" i="12"/>
  <c r="K245" i="12"/>
  <c r="K253" i="12"/>
  <c r="K208" i="12"/>
  <c r="K296" i="12"/>
  <c r="K249" i="12"/>
  <c r="K251" i="12"/>
  <c r="K225" i="12"/>
  <c r="K293" i="12"/>
  <c r="K295" i="12"/>
  <c r="K469" i="12"/>
  <c r="K199" i="12"/>
  <c r="K24" i="12"/>
  <c r="K23" i="12"/>
  <c r="F561" i="12" l="1"/>
  <c r="G561" i="12"/>
  <c r="H561" i="12"/>
  <c r="I561" i="12"/>
  <c r="J561" i="12"/>
  <c r="F372" i="12"/>
  <c r="G372" i="12"/>
  <c r="H372" i="12"/>
  <c r="I372" i="12"/>
  <c r="J372" i="12"/>
  <c r="E373" i="12"/>
  <c r="E372" i="12" s="1"/>
  <c r="K372" i="12" l="1"/>
  <c r="K561" i="12"/>
  <c r="E1228" i="12"/>
  <c r="J1227" i="12"/>
  <c r="I1227" i="12"/>
  <c r="H1227" i="12"/>
  <c r="G1227" i="12"/>
  <c r="F1227" i="12"/>
  <c r="E1227" i="12"/>
  <c r="F1222" i="12"/>
  <c r="E1221" i="12"/>
  <c r="E1220" i="12"/>
  <c r="E1219" i="12"/>
  <c r="E1218" i="12"/>
  <c r="E1217" i="12"/>
  <c r="J1215" i="12"/>
  <c r="J1203" i="12" s="1"/>
  <c r="I1215" i="12"/>
  <c r="I1203" i="12" s="1"/>
  <c r="H1215" i="12"/>
  <c r="H1203" i="12" s="1"/>
  <c r="G1215" i="12"/>
  <c r="G1203" i="12" s="1"/>
  <c r="E1214" i="12"/>
  <c r="E1202" i="12" s="1"/>
  <c r="J1213" i="12"/>
  <c r="I1213" i="12"/>
  <c r="H1213" i="12"/>
  <c r="G1213" i="12"/>
  <c r="F1213" i="12"/>
  <c r="E1213" i="12"/>
  <c r="J1212" i="12"/>
  <c r="I1212" i="12"/>
  <c r="H1212" i="12"/>
  <c r="G1212" i="12"/>
  <c r="J1211" i="12"/>
  <c r="I1211" i="12"/>
  <c r="H1211" i="12"/>
  <c r="G1211" i="12"/>
  <c r="J1210" i="12"/>
  <c r="I1210" i="12"/>
  <c r="H1210" i="12"/>
  <c r="G1210" i="12"/>
  <c r="J1209" i="12"/>
  <c r="I1209" i="12"/>
  <c r="H1209" i="12"/>
  <c r="G1209" i="12"/>
  <c r="J1208" i="12"/>
  <c r="I1208" i="12"/>
  <c r="H1208" i="12"/>
  <c r="G1208" i="12"/>
  <c r="J1207" i="12"/>
  <c r="I1207" i="12"/>
  <c r="H1207" i="12"/>
  <c r="G1207" i="12"/>
  <c r="F1207" i="12"/>
  <c r="J1206" i="12"/>
  <c r="I1206" i="12"/>
  <c r="H1206" i="12"/>
  <c r="G1206" i="12"/>
  <c r="F1206" i="12"/>
  <c r="J1205" i="12"/>
  <c r="I1205" i="12"/>
  <c r="H1205" i="12"/>
  <c r="G1205" i="12"/>
  <c r="F1205" i="12"/>
  <c r="J1204" i="12"/>
  <c r="I1204" i="12"/>
  <c r="H1204" i="12"/>
  <c r="G1204" i="12"/>
  <c r="F1204" i="12"/>
  <c r="F1203" i="12"/>
  <c r="J1202" i="12"/>
  <c r="I1202" i="12"/>
  <c r="H1202" i="12"/>
  <c r="G1202" i="12"/>
  <c r="F1202" i="12"/>
  <c r="E1200" i="12"/>
  <c r="E1199" i="12" s="1"/>
  <c r="J1199" i="12"/>
  <c r="I1199" i="12"/>
  <c r="H1199" i="12"/>
  <c r="G1199" i="12"/>
  <c r="F1199" i="12"/>
  <c r="E1197" i="12"/>
  <c r="E1196" i="12"/>
  <c r="E1195" i="12"/>
  <c r="E1194" i="12"/>
  <c r="E1193" i="12"/>
  <c r="E1192" i="12"/>
  <c r="E1191" i="12"/>
  <c r="E1190" i="12"/>
  <c r="E1189" i="12"/>
  <c r="E1188" i="12"/>
  <c r="E1187" i="12"/>
  <c r="J1186" i="12"/>
  <c r="I1186" i="12"/>
  <c r="H1186" i="12"/>
  <c r="G1186" i="12"/>
  <c r="F1186" i="12"/>
  <c r="J1185" i="12"/>
  <c r="I1185" i="12"/>
  <c r="H1185" i="12"/>
  <c r="G1185" i="12"/>
  <c r="F1185" i="12"/>
  <c r="J1184" i="12"/>
  <c r="I1184" i="12"/>
  <c r="H1184" i="12"/>
  <c r="G1184" i="12"/>
  <c r="F1184" i="12"/>
  <c r="J1183" i="12"/>
  <c r="I1183" i="12"/>
  <c r="H1183" i="12"/>
  <c r="G1183" i="12"/>
  <c r="F1183" i="12"/>
  <c r="J1182" i="12"/>
  <c r="I1182" i="12"/>
  <c r="H1182" i="12"/>
  <c r="G1182" i="12"/>
  <c r="F1182" i="12"/>
  <c r="J1181" i="12"/>
  <c r="I1181" i="12"/>
  <c r="H1181" i="12"/>
  <c r="G1181" i="12"/>
  <c r="F1181" i="12"/>
  <c r="J1180" i="12"/>
  <c r="I1180" i="12"/>
  <c r="H1180" i="12"/>
  <c r="G1180" i="12"/>
  <c r="F1180" i="12"/>
  <c r="J1179" i="12"/>
  <c r="I1179" i="12"/>
  <c r="H1179" i="12"/>
  <c r="G1179" i="12"/>
  <c r="F1179" i="12"/>
  <c r="J1178" i="12"/>
  <c r="I1178" i="12"/>
  <c r="H1178" i="12"/>
  <c r="G1178" i="12"/>
  <c r="F1178" i="12"/>
  <c r="J1177" i="12"/>
  <c r="I1177" i="12"/>
  <c r="H1177" i="12"/>
  <c r="G1177" i="12"/>
  <c r="F1177" i="12"/>
  <c r="J1176" i="12"/>
  <c r="I1176" i="12"/>
  <c r="H1176" i="12"/>
  <c r="G1176" i="12"/>
  <c r="F1176" i="12"/>
  <c r="J1175" i="12"/>
  <c r="I1175" i="12"/>
  <c r="H1175" i="12"/>
  <c r="G1175" i="12"/>
  <c r="F1175" i="12"/>
  <c r="J1174" i="12"/>
  <c r="I1174" i="12"/>
  <c r="H1174" i="12"/>
  <c r="G1174" i="12"/>
  <c r="F1174" i="12"/>
  <c r="E1174" i="12"/>
  <c r="E1164" i="12"/>
  <c r="E1163" i="12"/>
  <c r="E1162" i="12"/>
  <c r="E1161" i="12"/>
  <c r="E1160" i="12"/>
  <c r="E1152" i="12" s="1"/>
  <c r="E1159" i="12"/>
  <c r="E1151" i="12" s="1"/>
  <c r="E1158" i="12"/>
  <c r="E1150" i="12" s="1"/>
  <c r="E1157" i="12"/>
  <c r="E1149" i="12" s="1"/>
  <c r="F1156" i="12"/>
  <c r="K1156" i="12" s="1"/>
  <c r="F1155" i="12"/>
  <c r="F1154" i="12"/>
  <c r="K1154" i="12" s="1"/>
  <c r="F1153" i="12"/>
  <c r="K1153" i="12" s="1"/>
  <c r="J1152" i="12"/>
  <c r="I1152" i="12"/>
  <c r="H1152" i="12"/>
  <c r="G1152" i="12"/>
  <c r="F1152" i="12"/>
  <c r="J1151" i="12"/>
  <c r="I1151" i="12"/>
  <c r="H1151" i="12"/>
  <c r="G1151" i="12"/>
  <c r="F1151" i="12"/>
  <c r="J1150" i="12"/>
  <c r="I1150" i="12"/>
  <c r="H1150" i="12"/>
  <c r="G1150" i="12"/>
  <c r="F1150" i="12"/>
  <c r="J1149" i="12"/>
  <c r="I1149" i="12"/>
  <c r="H1149" i="12"/>
  <c r="G1149" i="12"/>
  <c r="F1149" i="12"/>
  <c r="E1147" i="12"/>
  <c r="E1146" i="12"/>
  <c r="E1145" i="12"/>
  <c r="E1144" i="12"/>
  <c r="E1143" i="12"/>
  <c r="E1142" i="12"/>
  <c r="E1141" i="12"/>
  <c r="E1140" i="12"/>
  <c r="J1139" i="12"/>
  <c r="J1130" i="12" s="1"/>
  <c r="I1139" i="12"/>
  <c r="I1130" i="12" s="1"/>
  <c r="H1139" i="12"/>
  <c r="H1130" i="12" s="1"/>
  <c r="G1139" i="12"/>
  <c r="G1130" i="12" s="1"/>
  <c r="F1139" i="12"/>
  <c r="J1138" i="12"/>
  <c r="J1129" i="12" s="1"/>
  <c r="I1138" i="12"/>
  <c r="I1129" i="12" s="1"/>
  <c r="H1138" i="12"/>
  <c r="H1129" i="12" s="1"/>
  <c r="G1138" i="12"/>
  <c r="G1129" i="12" s="1"/>
  <c r="F1138" i="12"/>
  <c r="J1137" i="12"/>
  <c r="J1128" i="12" s="1"/>
  <c r="I1137" i="12"/>
  <c r="I1128" i="12" s="1"/>
  <c r="H1137" i="12"/>
  <c r="H1128" i="12" s="1"/>
  <c r="G1137" i="12"/>
  <c r="G1128" i="12" s="1"/>
  <c r="F1137" i="12"/>
  <c r="J1136" i="12"/>
  <c r="J1127" i="12" s="1"/>
  <c r="I1136" i="12"/>
  <c r="I1127" i="12" s="1"/>
  <c r="H1136" i="12"/>
  <c r="H1127" i="12" s="1"/>
  <c r="G1136" i="12"/>
  <c r="G1127" i="12" s="1"/>
  <c r="F1135" i="12"/>
  <c r="J1134" i="12"/>
  <c r="J1125" i="12" s="1"/>
  <c r="I1134" i="12"/>
  <c r="I1125" i="12" s="1"/>
  <c r="H1134" i="12"/>
  <c r="H1125" i="12" s="1"/>
  <c r="G1134" i="12"/>
  <c r="G1125" i="12" s="1"/>
  <c r="F1134" i="12"/>
  <c r="J1133" i="12"/>
  <c r="J1124" i="12" s="1"/>
  <c r="I1133" i="12"/>
  <c r="H1133" i="12"/>
  <c r="H1124" i="12" s="1"/>
  <c r="G1133" i="12"/>
  <c r="F1133" i="12"/>
  <c r="J1132" i="12"/>
  <c r="J1123" i="12" s="1"/>
  <c r="I1132" i="12"/>
  <c r="H1132" i="12"/>
  <c r="H1123" i="12" s="1"/>
  <c r="G1132" i="12"/>
  <c r="G1123" i="12" s="1"/>
  <c r="F1132" i="12"/>
  <c r="I1123" i="12"/>
  <c r="E1121" i="12"/>
  <c r="E1120" i="12"/>
  <c r="E1119" i="12"/>
  <c r="F1118" i="12"/>
  <c r="E1117" i="12"/>
  <c r="E1116" i="12" s="1"/>
  <c r="J1116" i="12"/>
  <c r="I1116" i="12"/>
  <c r="H1116" i="12"/>
  <c r="G1116" i="12"/>
  <c r="F1116" i="12"/>
  <c r="E1115" i="12"/>
  <c r="J1114" i="12"/>
  <c r="I1114" i="12"/>
  <c r="H1114" i="12"/>
  <c r="G1114" i="12"/>
  <c r="F1114" i="12"/>
  <c r="E1114" i="12"/>
  <c r="E1113" i="12"/>
  <c r="E1112" i="12" s="1"/>
  <c r="J1112" i="12"/>
  <c r="I1112" i="12"/>
  <c r="H1112" i="12"/>
  <c r="G1112" i="12"/>
  <c r="F1112" i="12"/>
  <c r="E1111" i="12"/>
  <c r="J1110" i="12"/>
  <c r="I1110" i="12"/>
  <c r="H1110" i="12"/>
  <c r="G1110" i="12"/>
  <c r="F1110" i="12"/>
  <c r="E1110" i="12"/>
  <c r="E1109" i="12"/>
  <c r="E1108" i="12" s="1"/>
  <c r="J1108" i="12"/>
  <c r="I1108" i="12"/>
  <c r="H1108" i="12"/>
  <c r="G1108" i="12"/>
  <c r="F1108" i="12"/>
  <c r="E1107" i="12"/>
  <c r="E1106" i="12" s="1"/>
  <c r="J1106" i="12"/>
  <c r="I1106" i="12"/>
  <c r="H1106" i="12"/>
  <c r="G1106" i="12"/>
  <c r="F1106" i="12"/>
  <c r="E1105" i="12"/>
  <c r="E1104" i="12" s="1"/>
  <c r="J1104" i="12"/>
  <c r="I1104" i="12"/>
  <c r="H1104" i="12"/>
  <c r="G1104" i="12"/>
  <c r="F1104" i="12"/>
  <c r="E1103" i="12"/>
  <c r="E1095" i="12" s="1"/>
  <c r="J1102" i="12"/>
  <c r="I1102" i="12"/>
  <c r="H1102" i="12"/>
  <c r="G1102" i="12"/>
  <c r="F1102" i="12"/>
  <c r="E1101" i="12"/>
  <c r="E1100" i="12" s="1"/>
  <c r="J1100" i="12"/>
  <c r="I1100" i="12"/>
  <c r="H1100" i="12"/>
  <c r="G1100" i="12"/>
  <c r="F1100" i="12"/>
  <c r="F1099" i="12"/>
  <c r="K1099" i="12" s="1"/>
  <c r="J1098" i="12"/>
  <c r="I1098" i="12"/>
  <c r="H1098" i="12"/>
  <c r="G1098" i="12"/>
  <c r="F1098" i="12"/>
  <c r="J1097" i="12"/>
  <c r="J1050" i="12" s="1"/>
  <c r="I1097" i="12"/>
  <c r="I1050" i="12" s="1"/>
  <c r="H1097" i="12"/>
  <c r="H1050" i="12" s="1"/>
  <c r="G1097" i="12"/>
  <c r="G1050" i="12" s="1"/>
  <c r="F1097" i="12"/>
  <c r="J1096" i="12"/>
  <c r="J1049" i="12" s="1"/>
  <c r="I1096" i="12"/>
  <c r="H1096" i="12"/>
  <c r="H1049" i="12" s="1"/>
  <c r="G1096" i="12"/>
  <c r="G1049" i="12" s="1"/>
  <c r="F1096" i="12"/>
  <c r="J1095" i="12"/>
  <c r="J1094" i="12" s="1"/>
  <c r="I1095" i="12"/>
  <c r="H1095" i="12"/>
  <c r="H1048" i="12" s="1"/>
  <c r="G1095" i="12"/>
  <c r="G1048" i="12" s="1"/>
  <c r="F1095" i="12"/>
  <c r="F1048" i="12" s="1"/>
  <c r="E1093" i="12"/>
  <c r="J1092" i="12"/>
  <c r="I1092" i="12"/>
  <c r="H1092" i="12"/>
  <c r="G1092" i="12"/>
  <c r="F1092" i="12"/>
  <c r="E1092" i="12"/>
  <c r="E1091" i="12"/>
  <c r="E1090" i="12" s="1"/>
  <c r="J1090" i="12"/>
  <c r="I1090" i="12"/>
  <c r="H1090" i="12"/>
  <c r="G1090" i="12"/>
  <c r="F1090" i="12"/>
  <c r="E1089" i="12"/>
  <c r="E1088" i="12" s="1"/>
  <c r="J1088" i="12"/>
  <c r="I1088" i="12"/>
  <c r="H1088" i="12"/>
  <c r="G1088" i="12"/>
  <c r="F1088" i="12"/>
  <c r="E1087" i="12"/>
  <c r="E1086" i="12" s="1"/>
  <c r="J1086" i="12"/>
  <c r="I1086" i="12"/>
  <c r="H1086" i="12"/>
  <c r="G1086" i="12"/>
  <c r="F1086" i="12"/>
  <c r="E1085" i="12"/>
  <c r="E1084" i="12" s="1"/>
  <c r="J1084" i="12"/>
  <c r="I1084" i="12"/>
  <c r="H1084" i="12"/>
  <c r="G1084" i="12"/>
  <c r="F1084" i="12"/>
  <c r="J1083" i="12"/>
  <c r="J1057" i="12" s="1"/>
  <c r="I1083" i="12"/>
  <c r="I1057" i="12" s="1"/>
  <c r="H1083" i="12"/>
  <c r="H1057" i="12" s="1"/>
  <c r="G1083" i="12"/>
  <c r="G1057" i="12" s="1"/>
  <c r="F1083" i="12"/>
  <c r="J1082" i="12"/>
  <c r="I1082" i="12"/>
  <c r="H1082" i="12"/>
  <c r="G1082" i="12"/>
  <c r="F1082" i="12"/>
  <c r="J1081" i="12"/>
  <c r="I1081" i="12"/>
  <c r="H1081" i="12"/>
  <c r="G1081" i="12"/>
  <c r="F1081" i="12"/>
  <c r="J1080" i="12"/>
  <c r="J1054" i="12" s="1"/>
  <c r="I1080" i="12"/>
  <c r="H1080" i="12"/>
  <c r="H1054" i="12" s="1"/>
  <c r="G1080" i="12"/>
  <c r="G1054" i="12" s="1"/>
  <c r="F1080" i="12"/>
  <c r="E1080" i="12"/>
  <c r="J1074" i="12"/>
  <c r="J1075" i="12" s="1"/>
  <c r="J1076" i="12" s="1"/>
  <c r="I1074" i="12"/>
  <c r="I1075" i="12" s="1"/>
  <c r="H1074" i="12"/>
  <c r="H1075" i="12" s="1"/>
  <c r="H1076" i="12" s="1"/>
  <c r="G1074" i="12"/>
  <c r="F1074" i="12"/>
  <c r="E1073" i="12"/>
  <c r="E1072" i="12"/>
  <c r="E1071" i="12"/>
  <c r="E1070" i="12"/>
  <c r="E1069" i="12"/>
  <c r="E1068" i="12"/>
  <c r="E1067" i="12"/>
  <c r="E1047" i="12" s="1"/>
  <c r="E1065" i="12"/>
  <c r="E1064" i="12"/>
  <c r="E1061" i="12" s="1"/>
  <c r="E1063" i="12"/>
  <c r="E1060" i="12" s="1"/>
  <c r="J1062" i="12"/>
  <c r="I1062" i="12"/>
  <c r="H1062" i="12"/>
  <c r="G1062" i="12"/>
  <c r="F1062" i="12"/>
  <c r="E1062" i="12"/>
  <c r="J1061" i="12"/>
  <c r="I1061" i="12"/>
  <c r="H1061" i="12"/>
  <c r="G1061" i="12"/>
  <c r="F1061" i="12"/>
  <c r="F1060" i="12"/>
  <c r="K1060" i="12" s="1"/>
  <c r="J1059" i="12"/>
  <c r="F1053" i="12"/>
  <c r="I1049" i="12"/>
  <c r="J1047" i="12"/>
  <c r="I1047" i="12"/>
  <c r="H1047" i="12"/>
  <c r="G1047" i="12"/>
  <c r="F1047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J1033" i="12"/>
  <c r="I1033" i="12"/>
  <c r="H1033" i="12"/>
  <c r="G1033" i="12"/>
  <c r="F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J1021" i="12"/>
  <c r="I1021" i="12"/>
  <c r="H1021" i="12"/>
  <c r="G1021" i="12"/>
  <c r="F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997" i="12" s="1"/>
  <c r="E1009" i="12"/>
  <c r="J1008" i="12"/>
  <c r="I1008" i="12"/>
  <c r="H1008" i="12"/>
  <c r="G1008" i="12"/>
  <c r="F1008" i="12"/>
  <c r="J1007" i="12"/>
  <c r="I1007" i="12"/>
  <c r="H1007" i="12"/>
  <c r="G1007" i="12"/>
  <c r="F1007" i="12"/>
  <c r="J1006" i="12"/>
  <c r="I1006" i="12"/>
  <c r="H1006" i="12"/>
  <c r="G1006" i="12"/>
  <c r="F1006" i="12"/>
  <c r="J1005" i="12"/>
  <c r="I1005" i="12"/>
  <c r="H1005" i="12"/>
  <c r="G1005" i="12"/>
  <c r="F1005" i="12"/>
  <c r="J1004" i="12"/>
  <c r="I1004" i="12"/>
  <c r="H1004" i="12"/>
  <c r="G1004" i="12"/>
  <c r="F1004" i="12"/>
  <c r="J1003" i="12"/>
  <c r="I1003" i="12"/>
  <c r="H1003" i="12"/>
  <c r="G1003" i="12"/>
  <c r="F1003" i="12"/>
  <c r="J1002" i="12"/>
  <c r="I1002" i="12"/>
  <c r="H1002" i="12"/>
  <c r="G1002" i="12"/>
  <c r="F1002" i="12"/>
  <c r="J1001" i="12"/>
  <c r="I1001" i="12"/>
  <c r="H1001" i="12"/>
  <c r="G1001" i="12"/>
  <c r="F1001" i="12"/>
  <c r="J1000" i="12"/>
  <c r="I1000" i="12"/>
  <c r="H1000" i="12"/>
  <c r="G1000" i="12"/>
  <c r="F1000" i="12"/>
  <c r="J999" i="12"/>
  <c r="I999" i="12"/>
  <c r="H999" i="12"/>
  <c r="G999" i="12"/>
  <c r="F999" i="12"/>
  <c r="J998" i="12"/>
  <c r="I998" i="12"/>
  <c r="H998" i="12"/>
  <c r="G998" i="12"/>
  <c r="F998" i="12"/>
  <c r="J997" i="12"/>
  <c r="I997" i="12"/>
  <c r="H997" i="12"/>
  <c r="G997" i="12"/>
  <c r="F997" i="12"/>
  <c r="J996" i="12"/>
  <c r="I996" i="12"/>
  <c r="H996" i="12"/>
  <c r="G996" i="12"/>
  <c r="F996" i="12"/>
  <c r="J982" i="12"/>
  <c r="J969" i="12" s="1"/>
  <c r="I982" i="12"/>
  <c r="I969" i="12" s="1"/>
  <c r="H982" i="12"/>
  <c r="H969" i="12" s="1"/>
  <c r="G982" i="12"/>
  <c r="G969" i="12" s="1"/>
  <c r="F982" i="12"/>
  <c r="E982" i="12"/>
  <c r="E969" i="12" s="1"/>
  <c r="J981" i="12"/>
  <c r="I981" i="12"/>
  <c r="H981" i="12"/>
  <c r="G981" i="12"/>
  <c r="F981" i="12"/>
  <c r="E981" i="12"/>
  <c r="J980" i="12"/>
  <c r="I980" i="12"/>
  <c r="H980" i="12"/>
  <c r="G980" i="12"/>
  <c r="F980" i="12"/>
  <c r="E980" i="12"/>
  <c r="J979" i="12"/>
  <c r="I979" i="12"/>
  <c r="H979" i="12"/>
  <c r="G979" i="12"/>
  <c r="F979" i="12"/>
  <c r="E979" i="12"/>
  <c r="J978" i="12"/>
  <c r="I978" i="12"/>
  <c r="H978" i="12"/>
  <c r="G978" i="12"/>
  <c r="F978" i="12"/>
  <c r="E978" i="12"/>
  <c r="J977" i="12"/>
  <c r="I977" i="12"/>
  <c r="H977" i="12"/>
  <c r="G977" i="12"/>
  <c r="F977" i="12"/>
  <c r="E977" i="12"/>
  <c r="J976" i="12"/>
  <c r="I976" i="12"/>
  <c r="H976" i="12"/>
  <c r="G976" i="12"/>
  <c r="F976" i="12"/>
  <c r="E976" i="12"/>
  <c r="J975" i="12"/>
  <c r="I975" i="12"/>
  <c r="H975" i="12"/>
  <c r="G975" i="12"/>
  <c r="F975" i="12"/>
  <c r="E975" i="12"/>
  <c r="J974" i="12"/>
  <c r="I974" i="12"/>
  <c r="H974" i="12"/>
  <c r="G974" i="12"/>
  <c r="F974" i="12"/>
  <c r="E974" i="12"/>
  <c r="J973" i="12"/>
  <c r="I973" i="12"/>
  <c r="H973" i="12"/>
  <c r="G973" i="12"/>
  <c r="F973" i="12"/>
  <c r="E973" i="12"/>
  <c r="J972" i="12"/>
  <c r="I972" i="12"/>
  <c r="H972" i="12"/>
  <c r="G972" i="12"/>
  <c r="F972" i="12"/>
  <c r="E972" i="12"/>
  <c r="J971" i="12"/>
  <c r="I971" i="12"/>
  <c r="H971" i="12"/>
  <c r="G971" i="12"/>
  <c r="F971" i="12"/>
  <c r="E971" i="12"/>
  <c r="J970" i="12"/>
  <c r="I970" i="12"/>
  <c r="H970" i="12"/>
  <c r="G970" i="12"/>
  <c r="F970" i="12"/>
  <c r="E970" i="12"/>
  <c r="E968" i="12"/>
  <c r="E955" i="12" s="1"/>
  <c r="E967" i="12"/>
  <c r="E954" i="12" s="1"/>
  <c r="E966" i="12"/>
  <c r="E953" i="12" s="1"/>
  <c r="E965" i="12"/>
  <c r="E952" i="12" s="1"/>
  <c r="E964" i="12"/>
  <c r="E951" i="12" s="1"/>
  <c r="E963" i="12"/>
  <c r="E950" i="12" s="1"/>
  <c r="E962" i="12"/>
  <c r="E949" i="12" s="1"/>
  <c r="E961" i="12"/>
  <c r="E948" i="12" s="1"/>
  <c r="E960" i="12"/>
  <c r="E947" i="12" s="1"/>
  <c r="E959" i="12"/>
  <c r="E946" i="12" s="1"/>
  <c r="E958" i="12"/>
  <c r="E945" i="12" s="1"/>
  <c r="E957" i="12"/>
  <c r="E944" i="12" s="1"/>
  <c r="J956" i="12"/>
  <c r="J943" i="12" s="1"/>
  <c r="I956" i="12"/>
  <c r="I943" i="12" s="1"/>
  <c r="H956" i="12"/>
  <c r="H943" i="12" s="1"/>
  <c r="G956" i="12"/>
  <c r="J955" i="12"/>
  <c r="I955" i="12"/>
  <c r="H955" i="12"/>
  <c r="G955" i="12"/>
  <c r="F955" i="12"/>
  <c r="J954" i="12"/>
  <c r="I954" i="12"/>
  <c r="H954" i="12"/>
  <c r="G954" i="12"/>
  <c r="F954" i="12"/>
  <c r="J953" i="12"/>
  <c r="I953" i="12"/>
  <c r="H953" i="12"/>
  <c r="G953" i="12"/>
  <c r="F953" i="12"/>
  <c r="J952" i="12"/>
  <c r="I952" i="12"/>
  <c r="H952" i="12"/>
  <c r="G952" i="12"/>
  <c r="F952" i="12"/>
  <c r="J951" i="12"/>
  <c r="I951" i="12"/>
  <c r="H951" i="12"/>
  <c r="G951" i="12"/>
  <c r="F951" i="12"/>
  <c r="J950" i="12"/>
  <c r="I950" i="12"/>
  <c r="H950" i="12"/>
  <c r="G950" i="12"/>
  <c r="F950" i="12"/>
  <c r="J949" i="12"/>
  <c r="I949" i="12"/>
  <c r="H949" i="12"/>
  <c r="G949" i="12"/>
  <c r="F949" i="12"/>
  <c r="J948" i="12"/>
  <c r="I948" i="12"/>
  <c r="H948" i="12"/>
  <c r="G948" i="12"/>
  <c r="F948" i="12"/>
  <c r="J947" i="12"/>
  <c r="I947" i="12"/>
  <c r="H947" i="12"/>
  <c r="G947" i="12"/>
  <c r="F947" i="12"/>
  <c r="J946" i="12"/>
  <c r="I946" i="12"/>
  <c r="H946" i="12"/>
  <c r="G946" i="12"/>
  <c r="F946" i="12"/>
  <c r="J945" i="12"/>
  <c r="I945" i="12"/>
  <c r="H945" i="12"/>
  <c r="G945" i="12"/>
  <c r="F945" i="12"/>
  <c r="J944" i="12"/>
  <c r="I944" i="12"/>
  <c r="H944" i="12"/>
  <c r="G944" i="12"/>
  <c r="F944" i="12"/>
  <c r="E942" i="12"/>
  <c r="E929" i="12" s="1"/>
  <c r="E941" i="12"/>
  <c r="E928" i="12" s="1"/>
  <c r="E940" i="12"/>
  <c r="E927" i="12" s="1"/>
  <c r="E939" i="12"/>
  <c r="E926" i="12" s="1"/>
  <c r="E938" i="12"/>
  <c r="E925" i="12" s="1"/>
  <c r="E937" i="12"/>
  <c r="E924" i="12" s="1"/>
  <c r="E936" i="12"/>
  <c r="E923" i="12" s="1"/>
  <c r="E935" i="12"/>
  <c r="E922" i="12" s="1"/>
  <c r="E934" i="12"/>
  <c r="E921" i="12" s="1"/>
  <c r="E933" i="12"/>
  <c r="E920" i="12" s="1"/>
  <c r="E932" i="12"/>
  <c r="E919" i="12" s="1"/>
  <c r="E931" i="12"/>
  <c r="J930" i="12"/>
  <c r="J917" i="12" s="1"/>
  <c r="I930" i="12"/>
  <c r="I917" i="12" s="1"/>
  <c r="H930" i="12"/>
  <c r="H917" i="12" s="1"/>
  <c r="G930" i="12"/>
  <c r="G917" i="12" s="1"/>
  <c r="F930" i="12"/>
  <c r="J929" i="12"/>
  <c r="I929" i="12"/>
  <c r="H929" i="12"/>
  <c r="G929" i="12"/>
  <c r="F929" i="12"/>
  <c r="J928" i="12"/>
  <c r="I928" i="12"/>
  <c r="H928" i="12"/>
  <c r="G928" i="12"/>
  <c r="F928" i="12"/>
  <c r="J927" i="12"/>
  <c r="I927" i="12"/>
  <c r="H927" i="12"/>
  <c r="G927" i="12"/>
  <c r="F927" i="12"/>
  <c r="J926" i="12"/>
  <c r="I926" i="12"/>
  <c r="H926" i="12"/>
  <c r="G926" i="12"/>
  <c r="F926" i="12"/>
  <c r="J925" i="12"/>
  <c r="I925" i="12"/>
  <c r="H925" i="12"/>
  <c r="G925" i="12"/>
  <c r="F925" i="12"/>
  <c r="J924" i="12"/>
  <c r="I924" i="12"/>
  <c r="H924" i="12"/>
  <c r="G924" i="12"/>
  <c r="F924" i="12"/>
  <c r="J923" i="12"/>
  <c r="I923" i="12"/>
  <c r="H923" i="12"/>
  <c r="G923" i="12"/>
  <c r="F923" i="12"/>
  <c r="J922" i="12"/>
  <c r="I922" i="12"/>
  <c r="H922" i="12"/>
  <c r="G922" i="12"/>
  <c r="F922" i="12"/>
  <c r="J921" i="12"/>
  <c r="I921" i="12"/>
  <c r="H921" i="12"/>
  <c r="G921" i="12"/>
  <c r="F921" i="12"/>
  <c r="J920" i="12"/>
  <c r="I920" i="12"/>
  <c r="H920" i="12"/>
  <c r="G920" i="12"/>
  <c r="F920" i="12"/>
  <c r="J919" i="12"/>
  <c r="I919" i="12"/>
  <c r="H919" i="12"/>
  <c r="G919" i="12"/>
  <c r="F919" i="12"/>
  <c r="J918" i="12"/>
  <c r="I918" i="12"/>
  <c r="H918" i="12"/>
  <c r="G918" i="12"/>
  <c r="F918" i="12"/>
  <c r="E916" i="12"/>
  <c r="E903" i="12" s="1"/>
  <c r="E915" i="12"/>
  <c r="E902" i="12" s="1"/>
  <c r="E914" i="12"/>
  <c r="E901" i="12" s="1"/>
  <c r="E913" i="12"/>
  <c r="E900" i="12" s="1"/>
  <c r="E912" i="12"/>
  <c r="E899" i="12" s="1"/>
  <c r="E911" i="12"/>
  <c r="E898" i="12" s="1"/>
  <c r="E910" i="12"/>
  <c r="E897" i="12" s="1"/>
  <c r="E909" i="12"/>
  <c r="E896" i="12" s="1"/>
  <c r="E908" i="12"/>
  <c r="E895" i="12" s="1"/>
  <c r="E907" i="12"/>
  <c r="E894" i="12" s="1"/>
  <c r="E906" i="12"/>
  <c r="E893" i="12" s="1"/>
  <c r="E905" i="12"/>
  <c r="J904" i="12"/>
  <c r="J891" i="12" s="1"/>
  <c r="I904" i="12"/>
  <c r="I891" i="12" s="1"/>
  <c r="H904" i="12"/>
  <c r="H891" i="12" s="1"/>
  <c r="G904" i="12"/>
  <c r="J903" i="12"/>
  <c r="I903" i="12"/>
  <c r="H903" i="12"/>
  <c r="G903" i="12"/>
  <c r="J902" i="12"/>
  <c r="I902" i="12"/>
  <c r="H902" i="12"/>
  <c r="G902" i="12"/>
  <c r="J901" i="12"/>
  <c r="I901" i="12"/>
  <c r="H901" i="12"/>
  <c r="G901" i="12"/>
  <c r="J900" i="12"/>
  <c r="I900" i="12"/>
  <c r="H900" i="12"/>
  <c r="G900" i="12"/>
  <c r="J899" i="12"/>
  <c r="I899" i="12"/>
  <c r="H899" i="12"/>
  <c r="G899" i="12"/>
  <c r="J898" i="12"/>
  <c r="I898" i="12"/>
  <c r="H898" i="12"/>
  <c r="G898" i="12"/>
  <c r="F898" i="12"/>
  <c r="J897" i="12"/>
  <c r="I897" i="12"/>
  <c r="H897" i="12"/>
  <c r="G897" i="12"/>
  <c r="F897" i="12"/>
  <c r="J896" i="12"/>
  <c r="I896" i="12"/>
  <c r="H896" i="12"/>
  <c r="G896" i="12"/>
  <c r="F896" i="12"/>
  <c r="J895" i="12"/>
  <c r="I895" i="12"/>
  <c r="H895" i="12"/>
  <c r="G895" i="12"/>
  <c r="F895" i="12"/>
  <c r="J894" i="12"/>
  <c r="I894" i="12"/>
  <c r="H894" i="12"/>
  <c r="G894" i="12"/>
  <c r="F894" i="12"/>
  <c r="J893" i="12"/>
  <c r="I893" i="12"/>
  <c r="H893" i="12"/>
  <c r="G893" i="12"/>
  <c r="F893" i="12"/>
  <c r="J892" i="12"/>
  <c r="I892" i="12"/>
  <c r="H892" i="12"/>
  <c r="G892" i="12"/>
  <c r="F892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J878" i="12"/>
  <c r="I878" i="12"/>
  <c r="H878" i="12"/>
  <c r="G878" i="12"/>
  <c r="F878" i="12"/>
  <c r="F873" i="12"/>
  <c r="E872" i="12"/>
  <c r="E849" i="12" s="1"/>
  <c r="E871" i="12"/>
  <c r="E848" i="12" s="1"/>
  <c r="E870" i="12"/>
  <c r="E869" i="12"/>
  <c r="E868" i="12"/>
  <c r="E867" i="12"/>
  <c r="E866" i="12"/>
  <c r="J865" i="12"/>
  <c r="I865" i="12"/>
  <c r="H865" i="12"/>
  <c r="E864" i="12"/>
  <c r="E863" i="12"/>
  <c r="E862" i="12"/>
  <c r="J861" i="12"/>
  <c r="E860" i="12"/>
  <c r="E859" i="12"/>
  <c r="E846" i="12" s="1"/>
  <c r="E858" i="12"/>
  <c r="E857" i="12"/>
  <c r="E844" i="12" s="1"/>
  <c r="E831" i="12" s="1"/>
  <c r="E856" i="12"/>
  <c r="E843" i="12" s="1"/>
  <c r="J855" i="12"/>
  <c r="H855" i="12"/>
  <c r="G855" i="12"/>
  <c r="F855" i="12"/>
  <c r="J854" i="12"/>
  <c r="I854" i="12"/>
  <c r="H854" i="12"/>
  <c r="G854" i="12"/>
  <c r="J853" i="12"/>
  <c r="I853" i="12"/>
  <c r="H853" i="12"/>
  <c r="G853" i="12"/>
  <c r="J852" i="12"/>
  <c r="I852" i="12"/>
  <c r="H852" i="12"/>
  <c r="H839" i="12" s="1"/>
  <c r="G852" i="12"/>
  <c r="J851" i="12"/>
  <c r="I851" i="12"/>
  <c r="H851" i="12"/>
  <c r="G851" i="12"/>
  <c r="J850" i="12"/>
  <c r="I850" i="12"/>
  <c r="H850" i="12"/>
  <c r="H837" i="12" s="1"/>
  <c r="G850" i="12"/>
  <c r="F850" i="12"/>
  <c r="J849" i="12"/>
  <c r="I849" i="12"/>
  <c r="H849" i="12"/>
  <c r="G849" i="12"/>
  <c r="F849" i="12"/>
  <c r="J848" i="12"/>
  <c r="I848" i="12"/>
  <c r="H848" i="12"/>
  <c r="G848" i="12"/>
  <c r="F848" i="12"/>
  <c r="J847" i="12"/>
  <c r="I847" i="12"/>
  <c r="H847" i="12"/>
  <c r="G847" i="12"/>
  <c r="F847" i="12"/>
  <c r="J846" i="12"/>
  <c r="I846" i="12"/>
  <c r="H846" i="12"/>
  <c r="G846" i="12"/>
  <c r="F846" i="12"/>
  <c r="J845" i="12"/>
  <c r="I845" i="12"/>
  <c r="H845" i="12"/>
  <c r="G845" i="12"/>
  <c r="F845" i="12"/>
  <c r="J844" i="12"/>
  <c r="I844" i="12"/>
  <c r="H844" i="12"/>
  <c r="G844" i="12"/>
  <c r="F844" i="12"/>
  <c r="J843" i="12"/>
  <c r="I843" i="12"/>
  <c r="H843" i="12"/>
  <c r="G843" i="12"/>
  <c r="F843" i="12"/>
  <c r="E828" i="12"/>
  <c r="E827" i="12"/>
  <c r="I826" i="12"/>
  <c r="H826" i="12"/>
  <c r="G826" i="12"/>
  <c r="F826" i="12"/>
  <c r="E825" i="12"/>
  <c r="E824" i="12"/>
  <c r="J823" i="12"/>
  <c r="H823" i="12"/>
  <c r="G823" i="12"/>
  <c r="F823" i="12"/>
  <c r="E822" i="12"/>
  <c r="E821" i="12" s="1"/>
  <c r="I821" i="12"/>
  <c r="H821" i="12"/>
  <c r="G821" i="12"/>
  <c r="F821" i="12"/>
  <c r="E820" i="12"/>
  <c r="E819" i="12" s="1"/>
  <c r="I819" i="12"/>
  <c r="H819" i="12"/>
  <c r="G819" i="12"/>
  <c r="F819" i="12"/>
  <c r="E818" i="12"/>
  <c r="E817" i="12"/>
  <c r="E816" i="12"/>
  <c r="J815" i="12"/>
  <c r="H815" i="12"/>
  <c r="G815" i="12"/>
  <c r="F815" i="12"/>
  <c r="E814" i="12"/>
  <c r="E813" i="12"/>
  <c r="E812" i="12"/>
  <c r="H811" i="12"/>
  <c r="G811" i="12"/>
  <c r="F811" i="12"/>
  <c r="E810" i="12"/>
  <c r="E773" i="12" s="1"/>
  <c r="E809" i="12"/>
  <c r="E808" i="12"/>
  <c r="H807" i="12"/>
  <c r="G807" i="12"/>
  <c r="F807" i="12"/>
  <c r="E806" i="12"/>
  <c r="E805" i="12" s="1"/>
  <c r="I805" i="12"/>
  <c r="H805" i="12"/>
  <c r="G805" i="12"/>
  <c r="F805" i="12"/>
  <c r="E804" i="12"/>
  <c r="E803" i="12"/>
  <c r="I802" i="12"/>
  <c r="H802" i="12"/>
  <c r="G802" i="12"/>
  <c r="F802" i="12"/>
  <c r="E801" i="12"/>
  <c r="E775" i="12" s="1"/>
  <c r="E800" i="12"/>
  <c r="E774" i="12" s="1"/>
  <c r="I799" i="12"/>
  <c r="H799" i="12"/>
  <c r="G799" i="12"/>
  <c r="F799" i="12"/>
  <c r="E798" i="12"/>
  <c r="E797" i="12" s="1"/>
  <c r="I797" i="12"/>
  <c r="H797" i="12"/>
  <c r="G797" i="12"/>
  <c r="F797" i="12"/>
  <c r="E796" i="12"/>
  <c r="E795" i="12"/>
  <c r="E769" i="12" s="1"/>
  <c r="J794" i="12"/>
  <c r="I794" i="12"/>
  <c r="H794" i="12"/>
  <c r="G794" i="12"/>
  <c r="F794" i="12"/>
  <c r="E793" i="12"/>
  <c r="E792" i="12"/>
  <c r="E791" i="12"/>
  <c r="J790" i="12"/>
  <c r="I790" i="12"/>
  <c r="H790" i="12"/>
  <c r="G790" i="12"/>
  <c r="F790" i="12"/>
  <c r="E789" i="12"/>
  <c r="E788" i="12"/>
  <c r="J787" i="12"/>
  <c r="I787" i="12"/>
  <c r="H787" i="12"/>
  <c r="G787" i="12"/>
  <c r="F787" i="12"/>
  <c r="E786" i="12"/>
  <c r="E785" i="12"/>
  <c r="E784" i="12"/>
  <c r="J783" i="12"/>
  <c r="I783" i="12"/>
  <c r="H783" i="12"/>
  <c r="G783" i="12"/>
  <c r="F783" i="12"/>
  <c r="E782" i="12"/>
  <c r="E781" i="12"/>
  <c r="E780" i="12"/>
  <c r="E779" i="12"/>
  <c r="E778" i="12"/>
  <c r="E777" i="12"/>
  <c r="E770" i="12" s="1"/>
  <c r="J776" i="12"/>
  <c r="H776" i="12"/>
  <c r="G776" i="12"/>
  <c r="F776" i="12"/>
  <c r="J775" i="12"/>
  <c r="H775" i="12"/>
  <c r="G775" i="12"/>
  <c r="F775" i="12"/>
  <c r="J774" i="12"/>
  <c r="I774" i="12"/>
  <c r="H774" i="12"/>
  <c r="G774" i="12"/>
  <c r="F774" i="12"/>
  <c r="J773" i="12"/>
  <c r="I773" i="12"/>
  <c r="H773" i="12"/>
  <c r="G773" i="12"/>
  <c r="F773" i="12"/>
  <c r="J772" i="12"/>
  <c r="I772" i="12"/>
  <c r="H772" i="12"/>
  <c r="G772" i="12"/>
  <c r="F772" i="12"/>
  <c r="J771" i="12"/>
  <c r="K771" i="12" s="1"/>
  <c r="J769" i="12"/>
  <c r="I769" i="12"/>
  <c r="H769" i="12"/>
  <c r="G769" i="12"/>
  <c r="F769" i="12"/>
  <c r="F762" i="12"/>
  <c r="K762" i="12" s="1"/>
  <c r="F761" i="12"/>
  <c r="F760" i="12"/>
  <c r="E759" i="12"/>
  <c r="E758" i="12"/>
  <c r="E757" i="12"/>
  <c r="J756" i="12"/>
  <c r="I756" i="12"/>
  <c r="H756" i="12"/>
  <c r="G756" i="12"/>
  <c r="E755" i="12"/>
  <c r="E754" i="12"/>
  <c r="E753" i="12" s="1"/>
  <c r="J753" i="12"/>
  <c r="I753" i="12"/>
  <c r="H753" i="12"/>
  <c r="G753" i="12"/>
  <c r="F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J740" i="12"/>
  <c r="I740" i="12"/>
  <c r="H740" i="12"/>
  <c r="G740" i="12"/>
  <c r="F740" i="12"/>
  <c r="F734" i="12"/>
  <c r="K734" i="12" s="1"/>
  <c r="K731" i="12"/>
  <c r="K730" i="12"/>
  <c r="K729" i="12"/>
  <c r="J728" i="12"/>
  <c r="J727" i="12" s="1"/>
  <c r="I728" i="12"/>
  <c r="I727" i="12" s="1"/>
  <c r="H728" i="12"/>
  <c r="H727" i="12" s="1"/>
  <c r="G728" i="12"/>
  <c r="G727" i="12" s="1"/>
  <c r="F728" i="12"/>
  <c r="E726" i="12"/>
  <c r="E725" i="12"/>
  <c r="E724" i="12"/>
  <c r="J723" i="12"/>
  <c r="I723" i="12"/>
  <c r="H723" i="12"/>
  <c r="G723" i="12"/>
  <c r="F723" i="12"/>
  <c r="E722" i="12"/>
  <c r="E721" i="12" s="1"/>
  <c r="J721" i="12"/>
  <c r="I721" i="12"/>
  <c r="H721" i="12"/>
  <c r="G721" i="12"/>
  <c r="F721" i="12"/>
  <c r="E720" i="12"/>
  <c r="E719" i="12"/>
  <c r="E706" i="12" s="1"/>
  <c r="J718" i="12"/>
  <c r="I718" i="12"/>
  <c r="H718" i="12"/>
  <c r="G718" i="12"/>
  <c r="F718" i="12"/>
  <c r="E717" i="12"/>
  <c r="E709" i="12" s="1"/>
  <c r="E716" i="12"/>
  <c r="E715" i="12"/>
  <c r="J714" i="12"/>
  <c r="I714" i="12"/>
  <c r="H714" i="12"/>
  <c r="G714" i="12"/>
  <c r="F714" i="12"/>
  <c r="E713" i="12"/>
  <c r="E708" i="12" s="1"/>
  <c r="E712" i="12"/>
  <c r="J710" i="12"/>
  <c r="I710" i="12"/>
  <c r="H710" i="12"/>
  <c r="G710" i="12"/>
  <c r="F710" i="12"/>
  <c r="J709" i="12"/>
  <c r="I709" i="12"/>
  <c r="H709" i="12"/>
  <c r="G709" i="12"/>
  <c r="F709" i="12"/>
  <c r="J708" i="12"/>
  <c r="I708" i="12"/>
  <c r="H708" i="12"/>
  <c r="G708" i="12"/>
  <c r="F708" i="12"/>
  <c r="J706" i="12"/>
  <c r="I706" i="12"/>
  <c r="H706" i="12"/>
  <c r="G706" i="12"/>
  <c r="F706" i="12"/>
  <c r="E704" i="12"/>
  <c r="E703" i="12"/>
  <c r="E702" i="12"/>
  <c r="E701" i="12"/>
  <c r="J700" i="12"/>
  <c r="I700" i="12"/>
  <c r="H700" i="12"/>
  <c r="G700" i="12"/>
  <c r="F700" i="12"/>
  <c r="E699" i="12"/>
  <c r="E698" i="12"/>
  <c r="J697" i="12"/>
  <c r="I697" i="12"/>
  <c r="H697" i="12"/>
  <c r="G697" i="12"/>
  <c r="F697" i="12"/>
  <c r="E696" i="12"/>
  <c r="E695" i="12" s="1"/>
  <c r="J695" i="12"/>
  <c r="I695" i="12"/>
  <c r="H695" i="12"/>
  <c r="G695" i="12"/>
  <c r="F695" i="12"/>
  <c r="E694" i="12"/>
  <c r="J693" i="12"/>
  <c r="I693" i="12"/>
  <c r="H693" i="12"/>
  <c r="G693" i="12"/>
  <c r="F693" i="12"/>
  <c r="E693" i="12"/>
  <c r="E692" i="12"/>
  <c r="E691" i="12"/>
  <c r="E690" i="12"/>
  <c r="E689" i="12"/>
  <c r="E688" i="12"/>
  <c r="E687" i="12"/>
  <c r="J686" i="12"/>
  <c r="I686" i="12"/>
  <c r="H686" i="12"/>
  <c r="G686" i="12"/>
  <c r="F686" i="12"/>
  <c r="E685" i="12"/>
  <c r="E684" i="12"/>
  <c r="E683" i="12"/>
  <c r="E682" i="12"/>
  <c r="E681" i="12"/>
  <c r="E680" i="12"/>
  <c r="J679" i="12"/>
  <c r="I679" i="12"/>
  <c r="H679" i="12"/>
  <c r="G679" i="12"/>
  <c r="F679" i="12"/>
  <c r="E678" i="12"/>
  <c r="E677" i="12" s="1"/>
  <c r="J677" i="12"/>
  <c r="I677" i="12"/>
  <c r="H677" i="12"/>
  <c r="G677" i="12"/>
  <c r="F677" i="12"/>
  <c r="E676" i="12"/>
  <c r="E675" i="12" s="1"/>
  <c r="J675" i="12"/>
  <c r="I675" i="12"/>
  <c r="H675" i="12"/>
  <c r="G675" i="12"/>
  <c r="F675" i="12"/>
  <c r="E674" i="12"/>
  <c r="E673" i="12" s="1"/>
  <c r="J673" i="12"/>
  <c r="J663" i="12" s="1"/>
  <c r="J640" i="12" s="1"/>
  <c r="J574" i="12" s="1"/>
  <c r="I673" i="12"/>
  <c r="H673" i="12"/>
  <c r="G673" i="12"/>
  <c r="F673" i="12"/>
  <c r="E672" i="12"/>
  <c r="E671" i="12"/>
  <c r="E664" i="12" s="1"/>
  <c r="E670" i="12"/>
  <c r="E669" i="12"/>
  <c r="E662" i="12" s="1"/>
  <c r="E639" i="12" s="1"/>
  <c r="E668" i="12"/>
  <c r="E661" i="12" s="1"/>
  <c r="E667" i="12"/>
  <c r="E660" i="12" s="1"/>
  <c r="E666" i="12"/>
  <c r="E659" i="12" s="1"/>
  <c r="J665" i="12"/>
  <c r="J642" i="12" s="1"/>
  <c r="J576" i="12" s="1"/>
  <c r="I665" i="12"/>
  <c r="I642" i="12" s="1"/>
  <c r="I576" i="12" s="1"/>
  <c r="H665" i="12"/>
  <c r="H642" i="12" s="1"/>
  <c r="H576" i="12" s="1"/>
  <c r="G665" i="12"/>
  <c r="G642" i="12" s="1"/>
  <c r="G576" i="12" s="1"/>
  <c r="F665" i="12"/>
  <c r="E665" i="12"/>
  <c r="E642" i="12" s="1"/>
  <c r="J664" i="12"/>
  <c r="J641" i="12" s="1"/>
  <c r="J575" i="12" s="1"/>
  <c r="I664" i="12"/>
  <c r="I641" i="12" s="1"/>
  <c r="I575" i="12" s="1"/>
  <c r="H664" i="12"/>
  <c r="H641" i="12" s="1"/>
  <c r="H575" i="12" s="1"/>
  <c r="G664" i="12"/>
  <c r="G641" i="12" s="1"/>
  <c r="G575" i="12" s="1"/>
  <c r="F664" i="12"/>
  <c r="I663" i="12"/>
  <c r="I640" i="12" s="1"/>
  <c r="I574" i="12" s="1"/>
  <c r="H663" i="12"/>
  <c r="H640" i="12" s="1"/>
  <c r="H574" i="12" s="1"/>
  <c r="G663" i="12"/>
  <c r="G640" i="12" s="1"/>
  <c r="G574" i="12" s="1"/>
  <c r="F663" i="12"/>
  <c r="E663" i="12"/>
  <c r="E640" i="12" s="1"/>
  <c r="J662" i="12"/>
  <c r="J639" i="12" s="1"/>
  <c r="J573" i="12" s="1"/>
  <c r="I662" i="12"/>
  <c r="I639" i="12" s="1"/>
  <c r="I573" i="12" s="1"/>
  <c r="H662" i="12"/>
  <c r="H639" i="12" s="1"/>
  <c r="H573" i="12" s="1"/>
  <c r="G662" i="12"/>
  <c r="G639" i="12" s="1"/>
  <c r="G573" i="12" s="1"/>
  <c r="F662" i="12"/>
  <c r="J661" i="12"/>
  <c r="J638" i="12" s="1"/>
  <c r="J572" i="12" s="1"/>
  <c r="I661" i="12"/>
  <c r="I638" i="12" s="1"/>
  <c r="I572" i="12" s="1"/>
  <c r="H661" i="12"/>
  <c r="H638" i="12" s="1"/>
  <c r="H572" i="12" s="1"/>
  <c r="G661" i="12"/>
  <c r="G638" i="12" s="1"/>
  <c r="G572" i="12" s="1"/>
  <c r="F661" i="12"/>
  <c r="J660" i="12"/>
  <c r="I660" i="12"/>
  <c r="H660" i="12"/>
  <c r="G660" i="12"/>
  <c r="F660" i="12"/>
  <c r="J659" i="12"/>
  <c r="I659" i="12"/>
  <c r="H659" i="12"/>
  <c r="G659" i="12"/>
  <c r="F659" i="12"/>
  <c r="E657" i="12"/>
  <c r="E655" i="12" s="1"/>
  <c r="E656" i="12"/>
  <c r="E654" i="12" s="1"/>
  <c r="J655" i="12"/>
  <c r="I655" i="12"/>
  <c r="H655" i="12"/>
  <c r="G655" i="12"/>
  <c r="F655" i="12"/>
  <c r="J654" i="12"/>
  <c r="I654" i="12"/>
  <c r="H654" i="12"/>
  <c r="G654" i="12"/>
  <c r="F654" i="12"/>
  <c r="E652" i="12"/>
  <c r="E650" i="12" s="1"/>
  <c r="E651" i="12"/>
  <c r="E649" i="12" s="1"/>
  <c r="J650" i="12"/>
  <c r="I650" i="12"/>
  <c r="H650" i="12"/>
  <c r="G650" i="12"/>
  <c r="F650" i="12"/>
  <c r="J649" i="12"/>
  <c r="I649" i="12"/>
  <c r="H649" i="12"/>
  <c r="G649" i="12"/>
  <c r="F649" i="12"/>
  <c r="E647" i="12"/>
  <c r="E645" i="12" s="1"/>
  <c r="E646" i="12"/>
  <c r="E644" i="12" s="1"/>
  <c r="J645" i="12"/>
  <c r="I645" i="12"/>
  <c r="H645" i="12"/>
  <c r="G645" i="12"/>
  <c r="F645" i="12"/>
  <c r="J644" i="12"/>
  <c r="I644" i="12"/>
  <c r="H644" i="12"/>
  <c r="G644" i="12"/>
  <c r="F644" i="12"/>
  <c r="E641" i="12"/>
  <c r="E633" i="12"/>
  <c r="E632" i="12"/>
  <c r="E631" i="12"/>
  <c r="E630" i="12"/>
  <c r="E629" i="12"/>
  <c r="E628" i="12"/>
  <c r="E627" i="12"/>
  <c r="E626" i="12"/>
  <c r="E625" i="12"/>
  <c r="J624" i="12"/>
  <c r="H624" i="12"/>
  <c r="G624" i="12"/>
  <c r="F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J610" i="12"/>
  <c r="I610" i="12"/>
  <c r="H610" i="12"/>
  <c r="G610" i="12"/>
  <c r="F610" i="12"/>
  <c r="J609" i="12"/>
  <c r="I609" i="12"/>
  <c r="H609" i="12"/>
  <c r="G609" i="12"/>
  <c r="F609" i="12"/>
  <c r="E607" i="12"/>
  <c r="J606" i="12"/>
  <c r="I606" i="12"/>
  <c r="H606" i="12"/>
  <c r="G606" i="12"/>
  <c r="F606" i="12"/>
  <c r="E606" i="12"/>
  <c r="E605" i="12"/>
  <c r="E604" i="12" s="1"/>
  <c r="J604" i="12"/>
  <c r="I604" i="12"/>
  <c r="H604" i="12"/>
  <c r="G604" i="12"/>
  <c r="F604" i="12"/>
  <c r="E603" i="12"/>
  <c r="J602" i="12"/>
  <c r="I602" i="12"/>
  <c r="H602" i="12"/>
  <c r="G602" i="12"/>
  <c r="F602" i="12"/>
  <c r="E602" i="12"/>
  <c r="E601" i="12"/>
  <c r="J600" i="12"/>
  <c r="I600" i="12"/>
  <c r="H600" i="12"/>
  <c r="G600" i="12"/>
  <c r="F600" i="12"/>
  <c r="E599" i="12"/>
  <c r="E598" i="12" s="1"/>
  <c r="J598" i="12"/>
  <c r="I598" i="12"/>
  <c r="H598" i="12"/>
  <c r="G598" i="12"/>
  <c r="F598" i="12"/>
  <c r="E597" i="12"/>
  <c r="E596" i="12" s="1"/>
  <c r="J596" i="12"/>
  <c r="I596" i="12"/>
  <c r="H596" i="12"/>
  <c r="G596" i="12"/>
  <c r="F596" i="12"/>
  <c r="E595" i="12"/>
  <c r="J594" i="12"/>
  <c r="I594" i="12"/>
  <c r="H594" i="12"/>
  <c r="G594" i="12"/>
  <c r="F594" i="12"/>
  <c r="E593" i="12"/>
  <c r="J592" i="12"/>
  <c r="I592" i="12"/>
  <c r="H592" i="12"/>
  <c r="G592" i="12"/>
  <c r="F592" i="12"/>
  <c r="E591" i="12"/>
  <c r="J590" i="12"/>
  <c r="I590" i="12"/>
  <c r="H590" i="12"/>
  <c r="G590" i="12"/>
  <c r="F590" i="12"/>
  <c r="E590" i="12"/>
  <c r="E589" i="12"/>
  <c r="J588" i="12"/>
  <c r="I588" i="12"/>
  <c r="H588" i="12"/>
  <c r="G588" i="12"/>
  <c r="F588" i="12"/>
  <c r="E587" i="12"/>
  <c r="J586" i="12"/>
  <c r="I586" i="12"/>
  <c r="H586" i="12"/>
  <c r="G586" i="12"/>
  <c r="F586" i="12"/>
  <c r="E586" i="12"/>
  <c r="E585" i="12"/>
  <c r="E584" i="12"/>
  <c r="E578" i="12" s="1"/>
  <c r="E583" i="12"/>
  <c r="E582" i="12"/>
  <c r="E576" i="12" s="1"/>
  <c r="J581" i="12"/>
  <c r="I581" i="12"/>
  <c r="H581" i="12"/>
  <c r="G581" i="12"/>
  <c r="F581" i="12"/>
  <c r="I580" i="12"/>
  <c r="G580" i="12"/>
  <c r="F580" i="12"/>
  <c r="J579" i="12"/>
  <c r="I579" i="12"/>
  <c r="H579" i="12"/>
  <c r="G579" i="12"/>
  <c r="F579" i="12"/>
  <c r="J578" i="12"/>
  <c r="I578" i="12"/>
  <c r="H578" i="12"/>
  <c r="G578" i="12"/>
  <c r="F578" i="12"/>
  <c r="E567" i="12"/>
  <c r="E560" i="12" s="1"/>
  <c r="E566" i="12"/>
  <c r="E559" i="12" s="1"/>
  <c r="E565" i="12"/>
  <c r="E558" i="12" s="1"/>
  <c r="E564" i="12"/>
  <c r="E557" i="12" s="1"/>
  <c r="E563" i="12"/>
  <c r="E556" i="12" s="1"/>
  <c r="E562" i="12"/>
  <c r="J554" i="12"/>
  <c r="H554" i="12"/>
  <c r="G554" i="12"/>
  <c r="F554" i="12"/>
  <c r="J560" i="12"/>
  <c r="I560" i="12"/>
  <c r="H560" i="12"/>
  <c r="G560" i="12"/>
  <c r="F560" i="12"/>
  <c r="J559" i="12"/>
  <c r="I559" i="12"/>
  <c r="H559" i="12"/>
  <c r="G559" i="12"/>
  <c r="F559" i="12"/>
  <c r="J558" i="12"/>
  <c r="I558" i="12"/>
  <c r="H558" i="12"/>
  <c r="G558" i="12"/>
  <c r="F558" i="12"/>
  <c r="J557" i="12"/>
  <c r="I557" i="12"/>
  <c r="H557" i="12"/>
  <c r="G557" i="12"/>
  <c r="F557" i="12"/>
  <c r="J556" i="12"/>
  <c r="I556" i="12"/>
  <c r="H556" i="12"/>
  <c r="G556" i="12"/>
  <c r="F556" i="12"/>
  <c r="J555" i="12"/>
  <c r="I555" i="12"/>
  <c r="H555" i="12"/>
  <c r="G555" i="12"/>
  <c r="F555" i="12"/>
  <c r="I554" i="12"/>
  <c r="E553" i="12"/>
  <c r="E540" i="12" s="1"/>
  <c r="E552" i="12"/>
  <c r="E539" i="12" s="1"/>
  <c r="E551" i="12"/>
  <c r="E538" i="12" s="1"/>
  <c r="E550" i="12"/>
  <c r="E537" i="12" s="1"/>
  <c r="E549" i="12"/>
  <c r="E536" i="12" s="1"/>
  <c r="E548" i="12"/>
  <c r="E535" i="12" s="1"/>
  <c r="E547" i="12"/>
  <c r="E534" i="12" s="1"/>
  <c r="E546" i="12"/>
  <c r="E533" i="12" s="1"/>
  <c r="E545" i="12"/>
  <c r="E532" i="12" s="1"/>
  <c r="E544" i="12"/>
  <c r="E531" i="12" s="1"/>
  <c r="E543" i="12"/>
  <c r="E530" i="12" s="1"/>
  <c r="E542" i="12"/>
  <c r="J541" i="12"/>
  <c r="I541" i="12"/>
  <c r="H541" i="12"/>
  <c r="G541" i="12"/>
  <c r="F541" i="12"/>
  <c r="J540" i="12"/>
  <c r="I540" i="12"/>
  <c r="H540" i="12"/>
  <c r="G540" i="12"/>
  <c r="F540" i="12"/>
  <c r="J539" i="12"/>
  <c r="I539" i="12"/>
  <c r="H539" i="12"/>
  <c r="G539" i="12"/>
  <c r="F539" i="12"/>
  <c r="J538" i="12"/>
  <c r="I538" i="12"/>
  <c r="H538" i="12"/>
  <c r="G538" i="12"/>
  <c r="F538" i="12"/>
  <c r="J537" i="12"/>
  <c r="I537" i="12"/>
  <c r="H537" i="12"/>
  <c r="G537" i="12"/>
  <c r="F537" i="12"/>
  <c r="J536" i="12"/>
  <c r="I536" i="12"/>
  <c r="H536" i="12"/>
  <c r="G536" i="12"/>
  <c r="F536" i="12"/>
  <c r="J535" i="12"/>
  <c r="I535" i="12"/>
  <c r="H535" i="12"/>
  <c r="G535" i="12"/>
  <c r="F535" i="12"/>
  <c r="J534" i="12"/>
  <c r="I534" i="12"/>
  <c r="H534" i="12"/>
  <c r="G534" i="12"/>
  <c r="F534" i="12"/>
  <c r="J533" i="12"/>
  <c r="I533" i="12"/>
  <c r="H533" i="12"/>
  <c r="G533" i="12"/>
  <c r="F533" i="12"/>
  <c r="J532" i="12"/>
  <c r="I532" i="12"/>
  <c r="H532" i="12"/>
  <c r="G532" i="12"/>
  <c r="F532" i="12"/>
  <c r="J531" i="12"/>
  <c r="I531" i="12"/>
  <c r="H531" i="12"/>
  <c r="G531" i="12"/>
  <c r="F531" i="12"/>
  <c r="J530" i="12"/>
  <c r="I530" i="12"/>
  <c r="H530" i="12"/>
  <c r="G530" i="12"/>
  <c r="F530" i="12"/>
  <c r="J529" i="12"/>
  <c r="I529" i="12"/>
  <c r="H529" i="12"/>
  <c r="G529" i="12"/>
  <c r="F529" i="12"/>
  <c r="E527" i="12"/>
  <c r="E526" i="12" s="1"/>
  <c r="E524" i="12" s="1"/>
  <c r="J526" i="12"/>
  <c r="J524" i="12" s="1"/>
  <c r="I526" i="12"/>
  <c r="I524" i="12" s="1"/>
  <c r="H526" i="12"/>
  <c r="H524" i="12" s="1"/>
  <c r="G526" i="12"/>
  <c r="G524" i="12" s="1"/>
  <c r="F526" i="12"/>
  <c r="J525" i="12"/>
  <c r="I525" i="12"/>
  <c r="H525" i="12"/>
  <c r="G525" i="12"/>
  <c r="F525" i="12"/>
  <c r="E523" i="12"/>
  <c r="E522" i="12"/>
  <c r="J521" i="12"/>
  <c r="I521" i="12"/>
  <c r="H521" i="12"/>
  <c r="G521" i="12"/>
  <c r="E520" i="12"/>
  <c r="E519" i="12"/>
  <c r="E518" i="12"/>
  <c r="E517" i="12"/>
  <c r="E516" i="12"/>
  <c r="E515" i="12"/>
  <c r="E514" i="12"/>
  <c r="J513" i="12"/>
  <c r="I513" i="12"/>
  <c r="H513" i="12"/>
  <c r="G513" i="12"/>
  <c r="F513" i="12"/>
  <c r="E512" i="12"/>
  <c r="E511" i="12"/>
  <c r="J510" i="12"/>
  <c r="I510" i="12"/>
  <c r="H510" i="12"/>
  <c r="G510" i="12"/>
  <c r="F510" i="12"/>
  <c r="E509" i="12"/>
  <c r="E508" i="12" s="1"/>
  <c r="J508" i="12"/>
  <c r="I508" i="12"/>
  <c r="H508" i="12"/>
  <c r="G508" i="12"/>
  <c r="F508" i="12"/>
  <c r="E507" i="12"/>
  <c r="E506" i="12"/>
  <c r="E505" i="12"/>
  <c r="E504" i="12"/>
  <c r="E503" i="12"/>
  <c r="E502" i="12"/>
  <c r="J501" i="12"/>
  <c r="H501" i="12"/>
  <c r="G501" i="12"/>
  <c r="F501" i="12"/>
  <c r="E500" i="12"/>
  <c r="E499" i="12"/>
  <c r="E498" i="12"/>
  <c r="J497" i="12"/>
  <c r="I497" i="12"/>
  <c r="H497" i="12"/>
  <c r="G497" i="12"/>
  <c r="F497" i="12"/>
  <c r="E496" i="12"/>
  <c r="E495" i="12"/>
  <c r="E494" i="12"/>
  <c r="E493" i="12"/>
  <c r="E492" i="12"/>
  <c r="E491" i="12"/>
  <c r="J490" i="12"/>
  <c r="I490" i="12"/>
  <c r="H490" i="12"/>
  <c r="G490" i="12"/>
  <c r="F490" i="12"/>
  <c r="E489" i="12"/>
  <c r="E488" i="12"/>
  <c r="E487" i="12"/>
  <c r="E486" i="12"/>
  <c r="E485" i="12"/>
  <c r="E484" i="12"/>
  <c r="J483" i="12"/>
  <c r="I483" i="12"/>
  <c r="H483" i="12"/>
  <c r="G483" i="12"/>
  <c r="F483" i="12"/>
  <c r="J482" i="12"/>
  <c r="J475" i="12" s="1"/>
  <c r="I482" i="12"/>
  <c r="I475" i="12" s="1"/>
  <c r="H482" i="12"/>
  <c r="H475" i="12" s="1"/>
  <c r="G482" i="12"/>
  <c r="G475" i="12" s="1"/>
  <c r="F482" i="12"/>
  <c r="J481" i="12"/>
  <c r="J474" i="12" s="1"/>
  <c r="I481" i="12"/>
  <c r="I474" i="12" s="1"/>
  <c r="H481" i="12"/>
  <c r="H474" i="12" s="1"/>
  <c r="G481" i="12"/>
  <c r="G474" i="12" s="1"/>
  <c r="F481" i="12"/>
  <c r="F474" i="12" s="1"/>
  <c r="J480" i="12"/>
  <c r="J473" i="12" s="1"/>
  <c r="I480" i="12"/>
  <c r="I473" i="12" s="1"/>
  <c r="H480" i="12"/>
  <c r="H473" i="12" s="1"/>
  <c r="G480" i="12"/>
  <c r="G473" i="12" s="1"/>
  <c r="F480" i="12"/>
  <c r="J479" i="12"/>
  <c r="J472" i="12" s="1"/>
  <c r="I479" i="12"/>
  <c r="I472" i="12" s="1"/>
  <c r="H479" i="12"/>
  <c r="H472" i="12" s="1"/>
  <c r="G479" i="12"/>
  <c r="G472" i="12" s="1"/>
  <c r="F479" i="12"/>
  <c r="F472" i="12" s="1"/>
  <c r="J478" i="12"/>
  <c r="J471" i="12" s="1"/>
  <c r="I478" i="12"/>
  <c r="I471" i="12" s="1"/>
  <c r="H478" i="12"/>
  <c r="H471" i="12" s="1"/>
  <c r="G478" i="12"/>
  <c r="G471" i="12" s="1"/>
  <c r="F478" i="12"/>
  <c r="F471" i="12" s="1"/>
  <c r="J477" i="12"/>
  <c r="J470" i="12" s="1"/>
  <c r="I477" i="12"/>
  <c r="I470" i="12" s="1"/>
  <c r="H477" i="12"/>
  <c r="H470" i="12" s="1"/>
  <c r="G477" i="12"/>
  <c r="G470" i="12" s="1"/>
  <c r="F477" i="12"/>
  <c r="F470" i="12" s="1"/>
  <c r="E467" i="12"/>
  <c r="E466" i="12"/>
  <c r="E453" i="12" s="1"/>
  <c r="E465" i="12"/>
  <c r="E452" i="12" s="1"/>
  <c r="E464" i="12"/>
  <c r="E451" i="12" s="1"/>
  <c r="E463" i="12"/>
  <c r="E450" i="12" s="1"/>
  <c r="E462" i="12"/>
  <c r="E449" i="12" s="1"/>
  <c r="E461" i="12"/>
  <c r="E448" i="12" s="1"/>
  <c r="E460" i="12"/>
  <c r="E447" i="12" s="1"/>
  <c r="E459" i="12"/>
  <c r="E446" i="12" s="1"/>
  <c r="E458" i="12"/>
  <c r="E445" i="12" s="1"/>
  <c r="E457" i="12"/>
  <c r="E444" i="12" s="1"/>
  <c r="E456" i="12"/>
  <c r="J455" i="12"/>
  <c r="I455" i="12"/>
  <c r="H455" i="12"/>
  <c r="G455" i="12"/>
  <c r="F455" i="12"/>
  <c r="J454" i="12"/>
  <c r="I454" i="12"/>
  <c r="H454" i="12"/>
  <c r="G454" i="12"/>
  <c r="F454" i="12"/>
  <c r="E454" i="12"/>
  <c r="J453" i="12"/>
  <c r="I453" i="12"/>
  <c r="H453" i="12"/>
  <c r="G453" i="12"/>
  <c r="F453" i="12"/>
  <c r="J452" i="12"/>
  <c r="I452" i="12"/>
  <c r="H452" i="12"/>
  <c r="G452" i="12"/>
  <c r="F452" i="12"/>
  <c r="J451" i="12"/>
  <c r="I451" i="12"/>
  <c r="H451" i="12"/>
  <c r="G451" i="12"/>
  <c r="F451" i="12"/>
  <c r="J450" i="12"/>
  <c r="I450" i="12"/>
  <c r="H450" i="12"/>
  <c r="G450" i="12"/>
  <c r="F450" i="12"/>
  <c r="J449" i="12"/>
  <c r="I449" i="12"/>
  <c r="H449" i="12"/>
  <c r="G449" i="12"/>
  <c r="F449" i="12"/>
  <c r="J448" i="12"/>
  <c r="I448" i="12"/>
  <c r="H448" i="12"/>
  <c r="G448" i="12"/>
  <c r="F448" i="12"/>
  <c r="J447" i="12"/>
  <c r="I447" i="12"/>
  <c r="H447" i="12"/>
  <c r="G447" i="12"/>
  <c r="F447" i="12"/>
  <c r="J446" i="12"/>
  <c r="I446" i="12"/>
  <c r="H446" i="12"/>
  <c r="G446" i="12"/>
  <c r="F446" i="12"/>
  <c r="J445" i="12"/>
  <c r="I445" i="12"/>
  <c r="H445" i="12"/>
  <c r="G445" i="12"/>
  <c r="F445" i="12"/>
  <c r="J444" i="12"/>
  <c r="I444" i="12"/>
  <c r="H444" i="12"/>
  <c r="G444" i="12"/>
  <c r="F444" i="12"/>
  <c r="J443" i="12"/>
  <c r="I443" i="12"/>
  <c r="H443" i="12"/>
  <c r="G443" i="12"/>
  <c r="F443" i="12"/>
  <c r="E441" i="12"/>
  <c r="E440" i="12"/>
  <c r="E439" i="12"/>
  <c r="E438" i="12"/>
  <c r="E437" i="12"/>
  <c r="E436" i="12"/>
  <c r="E435" i="12"/>
  <c r="J434" i="12"/>
  <c r="I434" i="12"/>
  <c r="H434" i="12"/>
  <c r="G434" i="12"/>
  <c r="F434" i="12"/>
  <c r="E433" i="12"/>
  <c r="E432" i="12"/>
  <c r="J431" i="12"/>
  <c r="I431" i="12"/>
  <c r="H431" i="12"/>
  <c r="G431" i="12"/>
  <c r="F431" i="12"/>
  <c r="F430" i="12"/>
  <c r="K430" i="12" s="1"/>
  <c r="F429" i="12"/>
  <c r="F428" i="12"/>
  <c r="K428" i="12" s="1"/>
  <c r="F427" i="12"/>
  <c r="K427" i="12" s="1"/>
  <c r="F426" i="12"/>
  <c r="K426" i="12" s="1"/>
  <c r="F425" i="12"/>
  <c r="F424" i="12"/>
  <c r="J423" i="12"/>
  <c r="I423" i="12"/>
  <c r="H423" i="12"/>
  <c r="G423" i="12"/>
  <c r="J422" i="12"/>
  <c r="I422" i="12"/>
  <c r="H422" i="12"/>
  <c r="G422" i="12"/>
  <c r="J421" i="12"/>
  <c r="I421" i="12"/>
  <c r="H421" i="12"/>
  <c r="G421" i="12"/>
  <c r="J420" i="12"/>
  <c r="I420" i="12"/>
  <c r="H420" i="12"/>
  <c r="G420" i="12"/>
  <c r="J419" i="12"/>
  <c r="I419" i="12"/>
  <c r="H419" i="12"/>
  <c r="G419" i="12"/>
  <c r="J418" i="12"/>
  <c r="I418" i="12"/>
  <c r="H418" i="12"/>
  <c r="G418" i="12"/>
  <c r="J417" i="12"/>
  <c r="I417" i="12"/>
  <c r="H417" i="12"/>
  <c r="G417" i="12"/>
  <c r="J416" i="12"/>
  <c r="I416" i="12"/>
  <c r="H416" i="12"/>
  <c r="G416" i="12"/>
  <c r="E414" i="12"/>
  <c r="J413" i="12"/>
  <c r="I413" i="12"/>
  <c r="H413" i="12"/>
  <c r="G413" i="12"/>
  <c r="F413" i="12"/>
  <c r="E413" i="12"/>
  <c r="E412" i="12"/>
  <c r="E411" i="12" s="1"/>
  <c r="J411" i="12"/>
  <c r="I411" i="12"/>
  <c r="H411" i="12"/>
  <c r="G411" i="12"/>
  <c r="F411" i="12"/>
  <c r="E410" i="12"/>
  <c r="E376" i="12" s="1"/>
  <c r="J409" i="12"/>
  <c r="I409" i="12"/>
  <c r="H409" i="12"/>
  <c r="G409" i="12"/>
  <c r="F409" i="12"/>
  <c r="E408" i="12"/>
  <c r="E407" i="12"/>
  <c r="J406" i="12"/>
  <c r="I406" i="12"/>
  <c r="H406" i="12"/>
  <c r="G406" i="12"/>
  <c r="F406" i="12"/>
  <c r="E405" i="12"/>
  <c r="E383" i="12" s="1"/>
  <c r="J404" i="12"/>
  <c r="I404" i="12"/>
  <c r="H404" i="12"/>
  <c r="G404" i="12"/>
  <c r="F404" i="12"/>
  <c r="E404" i="12"/>
  <c r="E403" i="12"/>
  <c r="E402" i="12" s="1"/>
  <c r="J402" i="12"/>
  <c r="I402" i="12"/>
  <c r="H402" i="12"/>
  <c r="G402" i="12"/>
  <c r="F402" i="12"/>
  <c r="E401" i="12"/>
  <c r="E381" i="12" s="1"/>
  <c r="J400" i="12"/>
  <c r="I400" i="12"/>
  <c r="H400" i="12"/>
  <c r="G400" i="12"/>
  <c r="F400" i="12"/>
  <c r="E399" i="12"/>
  <c r="E380" i="12" s="1"/>
  <c r="J398" i="12"/>
  <c r="I398" i="12"/>
  <c r="H398" i="12"/>
  <c r="G398" i="12"/>
  <c r="F398" i="12"/>
  <c r="E397" i="12"/>
  <c r="E396" i="12"/>
  <c r="E377" i="12" s="1"/>
  <c r="J395" i="12"/>
  <c r="I395" i="12"/>
  <c r="H395" i="12"/>
  <c r="G395" i="12"/>
  <c r="F395" i="12"/>
  <c r="E394" i="12"/>
  <c r="E382" i="12" s="1"/>
  <c r="J393" i="12"/>
  <c r="I393" i="12"/>
  <c r="H393" i="12"/>
  <c r="G393" i="12"/>
  <c r="F393" i="12"/>
  <c r="E392" i="12"/>
  <c r="J391" i="12"/>
  <c r="I391" i="12"/>
  <c r="H391" i="12"/>
  <c r="G391" i="12"/>
  <c r="F391" i="12"/>
  <c r="E390" i="12"/>
  <c r="J389" i="12"/>
  <c r="I389" i="12"/>
  <c r="H389" i="12"/>
  <c r="G389" i="12"/>
  <c r="F389" i="12"/>
  <c r="E388" i="12"/>
  <c r="E384" i="12" s="1"/>
  <c r="J387" i="12"/>
  <c r="I387" i="12"/>
  <c r="H387" i="12"/>
  <c r="G387" i="12"/>
  <c r="F387" i="12"/>
  <c r="J385" i="12"/>
  <c r="I385" i="12"/>
  <c r="H385" i="12"/>
  <c r="G385" i="12"/>
  <c r="F385" i="12"/>
  <c r="E385" i="12"/>
  <c r="J384" i="12"/>
  <c r="I384" i="12"/>
  <c r="H384" i="12"/>
  <c r="G384" i="12"/>
  <c r="F384" i="12"/>
  <c r="J383" i="12"/>
  <c r="I383" i="12"/>
  <c r="H383" i="12"/>
  <c r="G383" i="12"/>
  <c r="F383" i="12"/>
  <c r="J382" i="12"/>
  <c r="I382" i="12"/>
  <c r="H382" i="12"/>
  <c r="G382" i="12"/>
  <c r="F382" i="12"/>
  <c r="J381" i="12"/>
  <c r="I381" i="12"/>
  <c r="H381" i="12"/>
  <c r="G381" i="12"/>
  <c r="F381" i="12"/>
  <c r="J380" i="12"/>
  <c r="I380" i="12"/>
  <c r="H380" i="12"/>
  <c r="G380" i="12"/>
  <c r="F380" i="12"/>
  <c r="J379" i="12"/>
  <c r="I379" i="12"/>
  <c r="H379" i="12"/>
  <c r="G379" i="12"/>
  <c r="F379" i="12"/>
  <c r="J378" i="12"/>
  <c r="I378" i="12"/>
  <c r="H378" i="12"/>
  <c r="G378" i="12"/>
  <c r="F378" i="12"/>
  <c r="J377" i="12"/>
  <c r="I377" i="12"/>
  <c r="H377" i="12"/>
  <c r="G377" i="12"/>
  <c r="F377" i="12"/>
  <c r="J376" i="12"/>
  <c r="I376" i="12"/>
  <c r="H376" i="12"/>
  <c r="G376" i="12"/>
  <c r="F376" i="12"/>
  <c r="E371" i="12"/>
  <c r="E370" i="12" s="1"/>
  <c r="J370" i="12"/>
  <c r="I370" i="12"/>
  <c r="H370" i="12"/>
  <c r="G370" i="12"/>
  <c r="F370" i="12"/>
  <c r="E369" i="12"/>
  <c r="J368" i="12"/>
  <c r="I368" i="12"/>
  <c r="H368" i="12"/>
  <c r="G368" i="12"/>
  <c r="F368" i="12"/>
  <c r="E367" i="12"/>
  <c r="E366" i="12" s="1"/>
  <c r="J366" i="12"/>
  <c r="I366" i="12"/>
  <c r="H366" i="12"/>
  <c r="G366" i="12"/>
  <c r="F366" i="12"/>
  <c r="E365" i="12"/>
  <c r="E364" i="12"/>
  <c r="J363" i="12"/>
  <c r="I363" i="12"/>
  <c r="H363" i="12"/>
  <c r="G363" i="12"/>
  <c r="F363" i="12"/>
  <c r="E362" i="12"/>
  <c r="E361" i="12" s="1"/>
  <c r="J361" i="12"/>
  <c r="I361" i="12"/>
  <c r="H361" i="12"/>
  <c r="G361" i="12"/>
  <c r="F361" i="12"/>
  <c r="E360" i="12"/>
  <c r="E358" i="12"/>
  <c r="E357" i="12"/>
  <c r="E356" i="12"/>
  <c r="J355" i="12"/>
  <c r="I355" i="12"/>
  <c r="H355" i="12"/>
  <c r="G355" i="12"/>
  <c r="F355" i="12"/>
  <c r="E354" i="12"/>
  <c r="E353" i="12" s="1"/>
  <c r="J353" i="12"/>
  <c r="J289" i="12" s="1"/>
  <c r="I353" i="12"/>
  <c r="I289" i="12" s="1"/>
  <c r="H353" i="12"/>
  <c r="H289" i="12" s="1"/>
  <c r="G353" i="12"/>
  <c r="G289" i="12" s="1"/>
  <c r="F353" i="12"/>
  <c r="E352" i="12"/>
  <c r="E351" i="12"/>
  <c r="E350" i="12"/>
  <c r="J349" i="12"/>
  <c r="I349" i="12"/>
  <c r="H349" i="12"/>
  <c r="G349" i="12"/>
  <c r="F349" i="12"/>
  <c r="E348" i="12"/>
  <c r="E347" i="12"/>
  <c r="J346" i="12"/>
  <c r="I346" i="12"/>
  <c r="H346" i="12"/>
  <c r="G346" i="12"/>
  <c r="F346" i="12"/>
  <c r="E345" i="12"/>
  <c r="E344" i="12" s="1"/>
  <c r="J344" i="12"/>
  <c r="I344" i="12"/>
  <c r="H344" i="12"/>
  <c r="G344" i="12"/>
  <c r="F344" i="12"/>
  <c r="E343" i="12"/>
  <c r="J342" i="12"/>
  <c r="I342" i="12"/>
  <c r="H342" i="12"/>
  <c r="G342" i="12"/>
  <c r="F342" i="12"/>
  <c r="E342" i="12"/>
  <c r="E341" i="12"/>
  <c r="E300" i="12" s="1"/>
  <c r="E340" i="12"/>
  <c r="E339" i="12"/>
  <c r="E298" i="12" s="1"/>
  <c r="E338" i="12"/>
  <c r="E297" i="12" s="1"/>
  <c r="E337" i="12"/>
  <c r="E336" i="12"/>
  <c r="E335" i="12"/>
  <c r="E334" i="12"/>
  <c r="J333" i="12"/>
  <c r="I333" i="12"/>
  <c r="I292" i="12" s="1"/>
  <c r="G333" i="12"/>
  <c r="E332" i="12"/>
  <c r="E331" i="12"/>
  <c r="H330" i="12"/>
  <c r="F330" i="12"/>
  <c r="E329" i="12"/>
  <c r="E328" i="12"/>
  <c r="E327" i="12"/>
  <c r="E326" i="12"/>
  <c r="J325" i="12"/>
  <c r="I325" i="12"/>
  <c r="H325" i="12"/>
  <c r="G325" i="12"/>
  <c r="F325" i="12"/>
  <c r="J320" i="12"/>
  <c r="I320" i="12"/>
  <c r="H320" i="12"/>
  <c r="G320" i="12"/>
  <c r="F320" i="12"/>
  <c r="E320" i="12"/>
  <c r="E319" i="12"/>
  <c r="E318" i="12"/>
  <c r="E317" i="12" s="1"/>
  <c r="J317" i="12"/>
  <c r="I317" i="12"/>
  <c r="H317" i="12"/>
  <c r="G317" i="12"/>
  <c r="F317" i="12"/>
  <c r="E316" i="12"/>
  <c r="J315" i="12"/>
  <c r="I315" i="12"/>
  <c r="H315" i="12"/>
  <c r="G315" i="12"/>
  <c r="F315" i="12"/>
  <c r="E314" i="12"/>
  <c r="E313" i="12" s="1"/>
  <c r="J313" i="12"/>
  <c r="I313" i="12"/>
  <c r="H313" i="12"/>
  <c r="G313" i="12"/>
  <c r="F313" i="12"/>
  <c r="E312" i="12"/>
  <c r="J311" i="12"/>
  <c r="I311" i="12"/>
  <c r="H311" i="12"/>
  <c r="G311" i="12"/>
  <c r="F311" i="12"/>
  <c r="E310" i="12"/>
  <c r="J309" i="12"/>
  <c r="I309" i="12"/>
  <c r="H309" i="12"/>
  <c r="G309" i="12"/>
  <c r="F309" i="12"/>
  <c r="E308" i="12"/>
  <c r="J307" i="12"/>
  <c r="I307" i="12"/>
  <c r="H307" i="12"/>
  <c r="G307" i="12"/>
  <c r="F307" i="12"/>
  <c r="E306" i="12"/>
  <c r="E305" i="12" s="1"/>
  <c r="J305" i="12"/>
  <c r="I305" i="12"/>
  <c r="H305" i="12"/>
  <c r="G305" i="12"/>
  <c r="F305" i="12"/>
  <c r="E304" i="12"/>
  <c r="E303" i="12" s="1"/>
  <c r="J303" i="12"/>
  <c r="I303" i="12"/>
  <c r="H303" i="12"/>
  <c r="G303" i="12"/>
  <c r="F303" i="12"/>
  <c r="E302" i="12"/>
  <c r="J301" i="12"/>
  <c r="I301" i="12"/>
  <c r="H301" i="12"/>
  <c r="G301" i="12"/>
  <c r="F301" i="12"/>
  <c r="J300" i="12"/>
  <c r="I300" i="12"/>
  <c r="H300" i="12"/>
  <c r="G300" i="12"/>
  <c r="F300" i="12"/>
  <c r="J299" i="12"/>
  <c r="I299" i="12"/>
  <c r="H299" i="12"/>
  <c r="G299" i="12"/>
  <c r="F299" i="12"/>
  <c r="J298" i="12"/>
  <c r="I298" i="12"/>
  <c r="H298" i="12"/>
  <c r="J297" i="12"/>
  <c r="I297" i="12"/>
  <c r="H297" i="12"/>
  <c r="G297" i="12"/>
  <c r="F297" i="12"/>
  <c r="E287" i="12"/>
  <c r="E275" i="12" s="1"/>
  <c r="E286" i="12"/>
  <c r="E274" i="12" s="1"/>
  <c r="E285" i="12"/>
  <c r="E273" i="12" s="1"/>
  <c r="E284" i="12"/>
  <c r="E272" i="12" s="1"/>
  <c r="E283" i="12"/>
  <c r="E271" i="12" s="1"/>
  <c r="E282" i="12"/>
  <c r="E281" i="12"/>
  <c r="J280" i="12"/>
  <c r="I280" i="12"/>
  <c r="H280" i="12"/>
  <c r="G280" i="12"/>
  <c r="F280" i="12"/>
  <c r="E279" i="12"/>
  <c r="E278" i="12"/>
  <c r="E277" i="12"/>
  <c r="E276" i="12"/>
  <c r="J275" i="12"/>
  <c r="I275" i="12"/>
  <c r="H275" i="12"/>
  <c r="G275" i="12"/>
  <c r="F275" i="12"/>
  <c r="J274" i="12"/>
  <c r="I274" i="12"/>
  <c r="H274" i="12"/>
  <c r="G274" i="12"/>
  <c r="F274" i="12"/>
  <c r="J273" i="12"/>
  <c r="I273" i="12"/>
  <c r="H273" i="12"/>
  <c r="G273" i="12"/>
  <c r="F273" i="12"/>
  <c r="J272" i="12"/>
  <c r="I272" i="12"/>
  <c r="H272" i="12"/>
  <c r="G272" i="12"/>
  <c r="F272" i="12"/>
  <c r="J271" i="12"/>
  <c r="I271" i="12"/>
  <c r="H271" i="12"/>
  <c r="G271" i="12"/>
  <c r="F271" i="12"/>
  <c r="J270" i="12"/>
  <c r="I270" i="12"/>
  <c r="H270" i="12"/>
  <c r="G270" i="12"/>
  <c r="F270" i="12"/>
  <c r="J269" i="12"/>
  <c r="I269" i="12"/>
  <c r="H269" i="12"/>
  <c r="G269" i="12"/>
  <c r="E267" i="12"/>
  <c r="E266" i="12"/>
  <c r="E265" i="12"/>
  <c r="J264" i="12"/>
  <c r="I264" i="12"/>
  <c r="E263" i="12"/>
  <c r="E262" i="12"/>
  <c r="I261" i="12"/>
  <c r="H261" i="12"/>
  <c r="G261" i="12"/>
  <c r="F261" i="12"/>
  <c r="E260" i="12"/>
  <c r="E259" i="12" s="1"/>
  <c r="J259" i="12"/>
  <c r="I259" i="12"/>
  <c r="H259" i="12"/>
  <c r="G259" i="12"/>
  <c r="F259" i="12"/>
  <c r="E258" i="12"/>
  <c r="E257" i="12" s="1"/>
  <c r="I257" i="12"/>
  <c r="H257" i="12"/>
  <c r="G257" i="12"/>
  <c r="F257" i="12"/>
  <c r="E256" i="12"/>
  <c r="E255" i="12" s="1"/>
  <c r="I255" i="12"/>
  <c r="G255" i="12"/>
  <c r="F255" i="12"/>
  <c r="E242" i="12"/>
  <c r="E241" i="12" s="1"/>
  <c r="J241" i="12"/>
  <c r="I241" i="12"/>
  <c r="H241" i="12"/>
  <c r="G241" i="12"/>
  <c r="F241" i="12"/>
  <c r="E240" i="12"/>
  <c r="E239" i="12" s="1"/>
  <c r="J239" i="12"/>
  <c r="I239" i="12"/>
  <c r="H239" i="12"/>
  <c r="G239" i="12"/>
  <c r="F239" i="12"/>
  <c r="E238" i="12"/>
  <c r="E237" i="12" s="1"/>
  <c r="J237" i="12"/>
  <c r="I237" i="12"/>
  <c r="H237" i="12"/>
  <c r="G237" i="12"/>
  <c r="F237" i="12"/>
  <c r="E236" i="12"/>
  <c r="E235" i="12" s="1"/>
  <c r="J235" i="12"/>
  <c r="I235" i="12"/>
  <c r="H235" i="12"/>
  <c r="G235" i="12"/>
  <c r="F235" i="12"/>
  <c r="E234" i="12"/>
  <c r="E233" i="12"/>
  <c r="J232" i="12"/>
  <c r="I232" i="12"/>
  <c r="G232" i="12"/>
  <c r="F232" i="12"/>
  <c r="E231" i="12"/>
  <c r="E230" i="12"/>
  <c r="E229" i="12"/>
  <c r="J228" i="12"/>
  <c r="I228" i="12"/>
  <c r="G228" i="12"/>
  <c r="F228" i="12"/>
  <c r="E227" i="12"/>
  <c r="E226" i="12"/>
  <c r="E224" i="12"/>
  <c r="E223" i="12" s="1"/>
  <c r="J223" i="12"/>
  <c r="I223" i="12"/>
  <c r="H223" i="12"/>
  <c r="G223" i="12"/>
  <c r="F223" i="12"/>
  <c r="E222" i="12"/>
  <c r="E221" i="12"/>
  <c r="J220" i="12"/>
  <c r="I220" i="12"/>
  <c r="H220" i="12"/>
  <c r="G220" i="12"/>
  <c r="F220" i="12"/>
  <c r="E219" i="12"/>
  <c r="E218" i="12"/>
  <c r="J217" i="12"/>
  <c r="I217" i="12"/>
  <c r="H217" i="12"/>
  <c r="G217" i="12"/>
  <c r="F217" i="12"/>
  <c r="E216" i="12"/>
  <c r="E215" i="12"/>
  <c r="J214" i="12"/>
  <c r="I214" i="12"/>
  <c r="H214" i="12"/>
  <c r="G214" i="12"/>
  <c r="F214" i="12"/>
  <c r="E213" i="12"/>
  <c r="E212" i="12"/>
  <c r="J211" i="12"/>
  <c r="I211" i="12"/>
  <c r="H211" i="12"/>
  <c r="G211" i="12"/>
  <c r="F211" i="12"/>
  <c r="E210" i="12"/>
  <c r="E209" i="12"/>
  <c r="E207" i="12"/>
  <c r="E206" i="12"/>
  <c r="H205" i="12"/>
  <c r="G205" i="12"/>
  <c r="F205" i="12"/>
  <c r="E204" i="12"/>
  <c r="E203" i="12"/>
  <c r="J202" i="12"/>
  <c r="I202" i="12"/>
  <c r="H202" i="12"/>
  <c r="G202" i="12"/>
  <c r="F202" i="12"/>
  <c r="E201" i="12"/>
  <c r="E200" i="12"/>
  <c r="E198" i="12"/>
  <c r="E197" i="12" s="1"/>
  <c r="J197" i="12"/>
  <c r="I197" i="12"/>
  <c r="H197" i="12"/>
  <c r="G197" i="12"/>
  <c r="F197" i="12"/>
  <c r="E196" i="12"/>
  <c r="E195" i="12" s="1"/>
  <c r="J195" i="12"/>
  <c r="I195" i="12"/>
  <c r="H195" i="12"/>
  <c r="G195" i="12"/>
  <c r="F195" i="12"/>
  <c r="E194" i="12"/>
  <c r="E193" i="12"/>
  <c r="E191" i="12"/>
  <c r="E190" i="12"/>
  <c r="J189" i="12"/>
  <c r="I189" i="12"/>
  <c r="H189" i="12"/>
  <c r="G189" i="12"/>
  <c r="F189" i="12"/>
  <c r="E188" i="12"/>
  <c r="E82" i="12" s="1"/>
  <c r="E187" i="12"/>
  <c r="E186" i="12"/>
  <c r="E80" i="12" s="1"/>
  <c r="J185" i="12"/>
  <c r="I185" i="12"/>
  <c r="G185" i="12"/>
  <c r="F185" i="12"/>
  <c r="E184" i="12"/>
  <c r="E183" i="12"/>
  <c r="J182" i="12"/>
  <c r="I182" i="12"/>
  <c r="H182" i="12"/>
  <c r="G182" i="12"/>
  <c r="F182" i="12"/>
  <c r="J180" i="12"/>
  <c r="I180" i="12"/>
  <c r="H180" i="12"/>
  <c r="G180" i="12"/>
  <c r="F180" i="12"/>
  <c r="E180" i="12"/>
  <c r="J178" i="12"/>
  <c r="I178" i="12"/>
  <c r="H178" i="12"/>
  <c r="G178" i="12"/>
  <c r="F178" i="12"/>
  <c r="E178" i="12"/>
  <c r="E161" i="12"/>
  <c r="E160" i="12"/>
  <c r="E159" i="12"/>
  <c r="H158" i="12"/>
  <c r="H84" i="12" s="1"/>
  <c r="E157" i="12"/>
  <c r="J156" i="12"/>
  <c r="I156" i="12"/>
  <c r="G156" i="12"/>
  <c r="F156" i="12"/>
  <c r="E155" i="12"/>
  <c r="E154" i="12"/>
  <c r="J153" i="12"/>
  <c r="I153" i="12"/>
  <c r="E152" i="12"/>
  <c r="E151" i="12"/>
  <c r="E150" i="12"/>
  <c r="E148" i="12"/>
  <c r="E128" i="12" s="1"/>
  <c r="E147" i="12"/>
  <c r="E146" i="12"/>
  <c r="E126" i="12" s="1"/>
  <c r="E145" i="12"/>
  <c r="E125" i="12" s="1"/>
  <c r="J144" i="12"/>
  <c r="I144" i="12"/>
  <c r="E143" i="12"/>
  <c r="E142" i="12"/>
  <c r="E141" i="12"/>
  <c r="J140" i="12"/>
  <c r="I140" i="12"/>
  <c r="E139" i="12"/>
  <c r="E138" i="12"/>
  <c r="E137" i="12"/>
  <c r="J136" i="12"/>
  <c r="I136" i="12"/>
  <c r="E135" i="12"/>
  <c r="E134" i="12"/>
  <c r="E133" i="12"/>
  <c r="J132" i="12"/>
  <c r="K132" i="12" s="1"/>
  <c r="J131" i="12"/>
  <c r="J85" i="12" s="1"/>
  <c r="I131" i="12"/>
  <c r="I85" i="12" s="1"/>
  <c r="H85" i="12"/>
  <c r="G131" i="12"/>
  <c r="G85" i="12" s="1"/>
  <c r="F131" i="12"/>
  <c r="J130" i="12"/>
  <c r="I130" i="12"/>
  <c r="G130" i="12"/>
  <c r="F130" i="12"/>
  <c r="J129" i="12"/>
  <c r="J83" i="12" s="1"/>
  <c r="I129" i="12"/>
  <c r="I83" i="12" s="1"/>
  <c r="H129" i="12"/>
  <c r="G129" i="12"/>
  <c r="F129" i="12"/>
  <c r="J128" i="12"/>
  <c r="J79" i="12" s="1"/>
  <c r="I128" i="12"/>
  <c r="I79" i="12" s="1"/>
  <c r="H128" i="12"/>
  <c r="H79" i="12" s="1"/>
  <c r="G128" i="12"/>
  <c r="G79" i="12" s="1"/>
  <c r="F128" i="12"/>
  <c r="J127" i="12"/>
  <c r="J78" i="12" s="1"/>
  <c r="I127" i="12"/>
  <c r="I78" i="12" s="1"/>
  <c r="H127" i="12"/>
  <c r="H78" i="12" s="1"/>
  <c r="G127" i="12"/>
  <c r="G78" i="12" s="1"/>
  <c r="F127" i="12"/>
  <c r="J126" i="12"/>
  <c r="J77" i="12" s="1"/>
  <c r="I126" i="12"/>
  <c r="I77" i="12" s="1"/>
  <c r="H126" i="12"/>
  <c r="G126" i="12"/>
  <c r="F126" i="12"/>
  <c r="F77" i="12" s="1"/>
  <c r="J125" i="12"/>
  <c r="J76" i="12" s="1"/>
  <c r="I125" i="12"/>
  <c r="I76" i="12" s="1"/>
  <c r="H125" i="12"/>
  <c r="H76" i="12" s="1"/>
  <c r="G125" i="12"/>
  <c r="G76" i="12" s="1"/>
  <c r="F125" i="12"/>
  <c r="F76" i="12" s="1"/>
  <c r="E123" i="12"/>
  <c r="E122" i="12"/>
  <c r="E121" i="12"/>
  <c r="E120" i="12"/>
  <c r="E119" i="12"/>
  <c r="F118" i="12"/>
  <c r="K118" i="12" s="1"/>
  <c r="F117" i="12"/>
  <c r="F116" i="12"/>
  <c r="J115" i="12"/>
  <c r="I115" i="12"/>
  <c r="E114" i="12"/>
  <c r="E113" i="12"/>
  <c r="E112" i="12"/>
  <c r="E111" i="12"/>
  <c r="E110" i="12"/>
  <c r="E109" i="12"/>
  <c r="E108" i="12"/>
  <c r="F107" i="12"/>
  <c r="E105" i="12"/>
  <c r="E104" i="12"/>
  <c r="E102" i="12"/>
  <c r="E101" i="12"/>
  <c r="E99" i="12"/>
  <c r="E98" i="12"/>
  <c r="E97" i="12"/>
  <c r="E96" i="12"/>
  <c r="E95" i="12"/>
  <c r="E94" i="12"/>
  <c r="E93" i="12"/>
  <c r="E92" i="12"/>
  <c r="E90" i="12"/>
  <c r="E89" i="12"/>
  <c r="J88" i="12"/>
  <c r="I88" i="12"/>
  <c r="H88" i="12"/>
  <c r="G88" i="12"/>
  <c r="F88" i="12"/>
  <c r="J86" i="12"/>
  <c r="I86" i="12"/>
  <c r="H86" i="12"/>
  <c r="G86" i="12"/>
  <c r="F86" i="12"/>
  <c r="J82" i="12"/>
  <c r="I82" i="12"/>
  <c r="J81" i="12"/>
  <c r="I81" i="12"/>
  <c r="J80" i="12"/>
  <c r="K80" i="12" s="1"/>
  <c r="E74" i="12"/>
  <c r="E73" i="12"/>
  <c r="E72" i="12"/>
  <c r="E71" i="12"/>
  <c r="E70" i="12"/>
  <c r="E69" i="12"/>
  <c r="E68" i="12"/>
  <c r="E67" i="12"/>
  <c r="E66" i="12"/>
  <c r="E65" i="12"/>
  <c r="E64" i="12"/>
  <c r="E63" i="12"/>
  <c r="J62" i="12"/>
  <c r="I62" i="12"/>
  <c r="H62" i="12"/>
  <c r="G62" i="12"/>
  <c r="F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J49" i="12"/>
  <c r="I49" i="12"/>
  <c r="H49" i="12"/>
  <c r="G49" i="12"/>
  <c r="F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J36" i="12"/>
  <c r="I36" i="12"/>
  <c r="H36" i="12"/>
  <c r="G36" i="12"/>
  <c r="F36" i="12"/>
  <c r="J34" i="12"/>
  <c r="I34" i="12"/>
  <c r="H34" i="12"/>
  <c r="G34" i="12"/>
  <c r="F34" i="12"/>
  <c r="J33" i="12"/>
  <c r="I33" i="12"/>
  <c r="H33" i="12"/>
  <c r="G33" i="12"/>
  <c r="F33" i="12"/>
  <c r="J32" i="12"/>
  <c r="I32" i="12"/>
  <c r="H32" i="12"/>
  <c r="G32" i="12"/>
  <c r="F32" i="12"/>
  <c r="J31" i="12"/>
  <c r="I31" i="12"/>
  <c r="H31" i="12"/>
  <c r="G31" i="12"/>
  <c r="F31" i="12"/>
  <c r="J30" i="12"/>
  <c r="I30" i="12"/>
  <c r="H30" i="12"/>
  <c r="G30" i="12"/>
  <c r="F30" i="12"/>
  <c r="J29" i="12"/>
  <c r="I29" i="12"/>
  <c r="H29" i="12"/>
  <c r="G29" i="12"/>
  <c r="F29" i="12"/>
  <c r="J28" i="12"/>
  <c r="I28" i="12"/>
  <c r="H28" i="12"/>
  <c r="G28" i="12"/>
  <c r="F28" i="12"/>
  <c r="J27" i="12"/>
  <c r="I27" i="12"/>
  <c r="H27" i="12"/>
  <c r="G27" i="12"/>
  <c r="F27" i="12"/>
  <c r="J26" i="12"/>
  <c r="I26" i="12"/>
  <c r="H26" i="12"/>
  <c r="G26" i="12"/>
  <c r="F26" i="12"/>
  <c r="J25" i="12"/>
  <c r="I25" i="12"/>
  <c r="H25" i="12"/>
  <c r="G25" i="12"/>
  <c r="F25" i="12"/>
  <c r="F885" i="11"/>
  <c r="F884" i="11"/>
  <c r="F883" i="11"/>
  <c r="F882" i="11"/>
  <c r="F881" i="11"/>
  <c r="F880" i="11"/>
  <c r="F1153" i="11"/>
  <c r="G1153" i="11"/>
  <c r="H1153" i="11"/>
  <c r="I1153" i="11"/>
  <c r="J1153" i="11"/>
  <c r="K711" i="11"/>
  <c r="J1048" i="12" l="1"/>
  <c r="E1048" i="12"/>
  <c r="E378" i="12"/>
  <c r="E469" i="12"/>
  <c r="E577" i="12"/>
  <c r="E579" i="12"/>
  <c r="E573" i="12"/>
  <c r="E574" i="12"/>
  <c r="E996" i="12"/>
  <c r="E315" i="12"/>
  <c r="E295" i="12"/>
  <c r="K760" i="12"/>
  <c r="F732" i="12"/>
  <c r="E588" i="12"/>
  <c r="E291" i="12"/>
  <c r="E999" i="12"/>
  <c r="E311" i="12"/>
  <c r="E592" i="12"/>
  <c r="E301" i="12"/>
  <c r="E293" i="12"/>
  <c r="E309" i="12"/>
  <c r="E359" i="12"/>
  <c r="E296" i="12"/>
  <c r="E600" i="12"/>
  <c r="E575" i="12"/>
  <c r="E391" i="12"/>
  <c r="E409" i="12"/>
  <c r="E638" i="12"/>
  <c r="E572" i="12" s="1"/>
  <c r="E728" i="12"/>
  <c r="E772" i="12"/>
  <c r="J839" i="12"/>
  <c r="E833" i="12"/>
  <c r="E1082" i="12"/>
  <c r="E307" i="12"/>
  <c r="E294" i="12"/>
  <c r="K761" i="12"/>
  <c r="F733" i="12"/>
  <c r="E299" i="12"/>
  <c r="E289" i="12"/>
  <c r="E387" i="12"/>
  <c r="E379" i="12"/>
  <c r="E375" i="12" s="1"/>
  <c r="E594" i="12"/>
  <c r="E707" i="12"/>
  <c r="E705" i="12" s="1"/>
  <c r="E771" i="12"/>
  <c r="E845" i="12"/>
  <c r="E1102" i="12"/>
  <c r="E400" i="12"/>
  <c r="J835" i="12"/>
  <c r="F1052" i="12"/>
  <c r="K1061" i="12"/>
  <c r="K1062" i="12"/>
  <c r="K1081" i="12"/>
  <c r="K1082" i="12"/>
  <c r="K1088" i="12"/>
  <c r="K1090" i="12"/>
  <c r="K1096" i="12"/>
  <c r="K1098" i="12"/>
  <c r="K1100" i="12"/>
  <c r="K1106" i="12"/>
  <c r="K1108" i="12"/>
  <c r="K1114" i="12"/>
  <c r="K1116" i="12"/>
  <c r="K1175" i="12"/>
  <c r="E76" i="12"/>
  <c r="K892" i="12"/>
  <c r="K894" i="12"/>
  <c r="K896" i="12"/>
  <c r="K898" i="12"/>
  <c r="K919" i="12"/>
  <c r="K921" i="12"/>
  <c r="K923" i="12"/>
  <c r="K925" i="12"/>
  <c r="K927" i="12"/>
  <c r="K930" i="12"/>
  <c r="K945" i="12"/>
  <c r="K947" i="12"/>
  <c r="K949" i="12"/>
  <c r="K951" i="12"/>
  <c r="K953" i="12"/>
  <c r="K970" i="12"/>
  <c r="K971" i="12"/>
  <c r="K972" i="12"/>
  <c r="K973" i="12"/>
  <c r="K974" i="12"/>
  <c r="K975" i="12"/>
  <c r="K976" i="12"/>
  <c r="K977" i="12"/>
  <c r="K978" i="12"/>
  <c r="K979" i="12"/>
  <c r="K980" i="12"/>
  <c r="K982" i="12"/>
  <c r="K997" i="12"/>
  <c r="K999" i="12"/>
  <c r="K1001" i="12"/>
  <c r="K1003" i="12"/>
  <c r="K1005" i="12"/>
  <c r="K1007" i="12"/>
  <c r="K1021" i="12"/>
  <c r="K1033" i="12"/>
  <c r="E832" i="12"/>
  <c r="E87" i="12"/>
  <c r="K1177" i="12"/>
  <c r="K1203" i="12"/>
  <c r="H35" i="12"/>
  <c r="J35" i="12"/>
  <c r="K82" i="12"/>
  <c r="K86" i="12"/>
  <c r="E130" i="12"/>
  <c r="K136" i="12"/>
  <c r="E136" i="12"/>
  <c r="K144" i="12"/>
  <c r="K182" i="12"/>
  <c r="K205" i="12"/>
  <c r="E211" i="12"/>
  <c r="K214" i="12"/>
  <c r="K220" i="12"/>
  <c r="E220" i="12"/>
  <c r="E232" i="12"/>
  <c r="K235" i="12"/>
  <c r="K237" i="12"/>
  <c r="K269" i="12"/>
  <c r="K280" i="12"/>
  <c r="K297" i="12"/>
  <c r="E861" i="12"/>
  <c r="E129" i="12"/>
  <c r="K315" i="12"/>
  <c r="K325" i="12"/>
  <c r="K344" i="12"/>
  <c r="K346" i="12"/>
  <c r="K361" i="12"/>
  <c r="K363" i="12"/>
  <c r="K377" i="12"/>
  <c r="K379" i="12"/>
  <c r="K381" i="12"/>
  <c r="K383" i="12"/>
  <c r="K384" i="12"/>
  <c r="K389" i="12"/>
  <c r="K398" i="12"/>
  <c r="K404" i="12"/>
  <c r="K406" i="12"/>
  <c r="K409" i="12"/>
  <c r="K411" i="12"/>
  <c r="K431" i="12"/>
  <c r="K455" i="12"/>
  <c r="K490" i="12"/>
  <c r="E510" i="12"/>
  <c r="K513" i="12"/>
  <c r="K521" i="12"/>
  <c r="E521" i="12"/>
  <c r="K541" i="12"/>
  <c r="K554" i="12"/>
  <c r="K578" i="12"/>
  <c r="K580" i="12"/>
  <c r="K590" i="12"/>
  <c r="K592" i="12"/>
  <c r="K606" i="12"/>
  <c r="K609" i="12"/>
  <c r="K673" i="12"/>
  <c r="K686" i="12"/>
  <c r="K693" i="12"/>
  <c r="K695" i="12"/>
  <c r="K697" i="12"/>
  <c r="K709" i="12"/>
  <c r="K714" i="12"/>
  <c r="K718" i="12"/>
  <c r="K769" i="12"/>
  <c r="K772" i="12"/>
  <c r="K790" i="12"/>
  <c r="K794" i="12"/>
  <c r="K799" i="12"/>
  <c r="K802" i="12"/>
  <c r="K805" i="12"/>
  <c r="K819" i="12"/>
  <c r="K823" i="12"/>
  <c r="K826" i="12"/>
  <c r="I842" i="12"/>
  <c r="K844" i="12"/>
  <c r="K846" i="12"/>
  <c r="K848" i="12"/>
  <c r="K850" i="12"/>
  <c r="K981" i="12"/>
  <c r="K1133" i="12"/>
  <c r="K1149" i="12"/>
  <c r="K1151" i="12"/>
  <c r="K1179" i="12"/>
  <c r="K1181" i="12"/>
  <c r="K1183" i="12"/>
  <c r="K1185" i="12"/>
  <c r="K1204" i="12"/>
  <c r="K1206" i="12"/>
  <c r="K1227" i="12"/>
  <c r="E855" i="12"/>
  <c r="E847" i="12"/>
  <c r="E834" i="12" s="1"/>
  <c r="F106" i="12"/>
  <c r="K106" i="12" s="1"/>
  <c r="K107" i="12"/>
  <c r="F115" i="12"/>
  <c r="K115" i="12" s="1"/>
  <c r="K116" i="12"/>
  <c r="K387" i="12"/>
  <c r="F417" i="12"/>
  <c r="K425" i="12"/>
  <c r="F421" i="12"/>
  <c r="K429" i="12"/>
  <c r="F35" i="12"/>
  <c r="K36" i="12"/>
  <c r="K62" i="12"/>
  <c r="K84" i="12"/>
  <c r="K158" i="12"/>
  <c r="K189" i="12"/>
  <c r="K385" i="12"/>
  <c r="G22" i="12"/>
  <c r="I22" i="12"/>
  <c r="K28" i="12"/>
  <c r="K30" i="12"/>
  <c r="K32" i="12"/>
  <c r="K34" i="12"/>
  <c r="G35" i="12"/>
  <c r="I35" i="12"/>
  <c r="K49" i="12"/>
  <c r="K88" i="12"/>
  <c r="F81" i="12"/>
  <c r="K81" i="12" s="1"/>
  <c r="K117" i="12"/>
  <c r="K130" i="12"/>
  <c r="E132" i="12"/>
  <c r="K140" i="12"/>
  <c r="E140" i="12"/>
  <c r="K153" i="12"/>
  <c r="K178" i="12"/>
  <c r="K180" i="12"/>
  <c r="K185" i="12"/>
  <c r="K195" i="12"/>
  <c r="K197" i="12"/>
  <c r="K202" i="12"/>
  <c r="E208" i="12"/>
  <c r="K211" i="12"/>
  <c r="K217" i="12"/>
  <c r="K223" i="12"/>
  <c r="E228" i="12"/>
  <c r="K239" i="12"/>
  <c r="K241" i="12"/>
  <c r="K257" i="12"/>
  <c r="K259" i="12"/>
  <c r="K740" i="12"/>
  <c r="K873" i="12"/>
  <c r="G943" i="12"/>
  <c r="K943" i="12" s="1"/>
  <c r="K956" i="12"/>
  <c r="F1126" i="12"/>
  <c r="F1129" i="12"/>
  <c r="K1129" i="12" s="1"/>
  <c r="K1138" i="12"/>
  <c r="E1155" i="12"/>
  <c r="K1155" i="12"/>
  <c r="F1223" i="12"/>
  <c r="K1223" i="12" s="1"/>
  <c r="K1222" i="12"/>
  <c r="K261" i="12"/>
  <c r="K264" i="12"/>
  <c r="K301" i="12"/>
  <c r="K303" i="12"/>
  <c r="K305" i="12"/>
  <c r="K307" i="12"/>
  <c r="K317" i="12"/>
  <c r="K320" i="12"/>
  <c r="G292" i="12"/>
  <c r="K333" i="12"/>
  <c r="K342" i="12"/>
  <c r="K349" i="12"/>
  <c r="F289" i="12"/>
  <c r="F288" i="12" s="1"/>
  <c r="K353" i="12"/>
  <c r="K289" i="12" s="1"/>
  <c r="K355" i="12"/>
  <c r="K366" i="12"/>
  <c r="K368" i="12"/>
  <c r="K370" i="12"/>
  <c r="K376" i="12"/>
  <c r="J375" i="12"/>
  <c r="K378" i="12"/>
  <c r="K380" i="12"/>
  <c r="K382" i="12"/>
  <c r="K391" i="12"/>
  <c r="K393" i="12"/>
  <c r="K395" i="12"/>
  <c r="K400" i="12"/>
  <c r="K402" i="12"/>
  <c r="K413" i="12"/>
  <c r="K424" i="12"/>
  <c r="E424" i="12"/>
  <c r="E416" i="12" s="1"/>
  <c r="K434" i="12"/>
  <c r="K443" i="12"/>
  <c r="K445" i="12"/>
  <c r="K447" i="12"/>
  <c r="K449" i="12"/>
  <c r="K451" i="12"/>
  <c r="K453" i="12"/>
  <c r="K454" i="12"/>
  <c r="K483" i="12"/>
  <c r="K497" i="12"/>
  <c r="E497" i="12"/>
  <c r="K501" i="12"/>
  <c r="K508" i="12"/>
  <c r="K510" i="12"/>
  <c r="K526" i="12"/>
  <c r="K529" i="12"/>
  <c r="K531" i="12"/>
  <c r="K533" i="12"/>
  <c r="K535" i="12"/>
  <c r="K537" i="12"/>
  <c r="K539" i="12"/>
  <c r="K540" i="12"/>
  <c r="K556" i="12"/>
  <c r="K558" i="12"/>
  <c r="K560" i="12"/>
  <c r="K579" i="12"/>
  <c r="K581" i="12"/>
  <c r="K586" i="12"/>
  <c r="K588" i="12"/>
  <c r="K596" i="12"/>
  <c r="K602" i="12"/>
  <c r="K604" i="12"/>
  <c r="K610" i="12"/>
  <c r="K624" i="12"/>
  <c r="K644" i="12"/>
  <c r="K649" i="12"/>
  <c r="K654" i="12"/>
  <c r="K659" i="12"/>
  <c r="K675" i="12"/>
  <c r="K677" i="12"/>
  <c r="K679" i="12"/>
  <c r="K700" i="12"/>
  <c r="K708" i="12"/>
  <c r="K710" i="12"/>
  <c r="K721" i="12"/>
  <c r="K723" i="12"/>
  <c r="K728" i="12"/>
  <c r="K753" i="12"/>
  <c r="K773" i="12"/>
  <c r="K775" i="12"/>
  <c r="K776" i="12"/>
  <c r="K783" i="12"/>
  <c r="K787" i="12"/>
  <c r="K797" i="12"/>
  <c r="K807" i="12"/>
  <c r="K811" i="12"/>
  <c r="K815" i="12"/>
  <c r="K821" i="12"/>
  <c r="K843" i="12"/>
  <c r="K845" i="12"/>
  <c r="K847" i="12"/>
  <c r="K849" i="12"/>
  <c r="I840" i="12"/>
  <c r="K855" i="12"/>
  <c r="K861" i="12"/>
  <c r="K878" i="12"/>
  <c r="K893" i="12"/>
  <c r="K895" i="12"/>
  <c r="K897" i="12"/>
  <c r="K899" i="12"/>
  <c r="K900" i="12"/>
  <c r="K901" i="12"/>
  <c r="K902" i="12"/>
  <c r="K903" i="12"/>
  <c r="G891" i="12"/>
  <c r="K891" i="12" s="1"/>
  <c r="K904" i="12"/>
  <c r="F917" i="12"/>
  <c r="K917" i="12" s="1"/>
  <c r="K918" i="12"/>
  <c r="K920" i="12"/>
  <c r="K922" i="12"/>
  <c r="K924" i="12"/>
  <c r="K926" i="12"/>
  <c r="K928" i="12"/>
  <c r="K929" i="12"/>
  <c r="K944" i="12"/>
  <c r="K946" i="12"/>
  <c r="K948" i="12"/>
  <c r="K950" i="12"/>
  <c r="K952" i="12"/>
  <c r="K954" i="12"/>
  <c r="K955" i="12"/>
  <c r="K996" i="12"/>
  <c r="K998" i="12"/>
  <c r="K1000" i="12"/>
  <c r="K1002" i="12"/>
  <c r="K1004" i="12"/>
  <c r="K1006" i="12"/>
  <c r="K1008" i="12"/>
  <c r="K1047" i="12"/>
  <c r="F1051" i="12"/>
  <c r="K1074" i="12"/>
  <c r="K1080" i="12"/>
  <c r="K1083" i="12"/>
  <c r="K1084" i="12"/>
  <c r="K1086" i="12"/>
  <c r="K1092" i="12"/>
  <c r="K1095" i="12"/>
  <c r="K1097" i="12"/>
  <c r="K1102" i="12"/>
  <c r="K1104" i="12"/>
  <c r="K1110" i="12"/>
  <c r="K1112" i="12"/>
  <c r="F1123" i="12"/>
  <c r="K1123" i="12" s="1"/>
  <c r="K1132" i="12"/>
  <c r="F1125" i="12"/>
  <c r="K1125" i="12" s="1"/>
  <c r="K1134" i="12"/>
  <c r="F1128" i="12"/>
  <c r="K1128" i="12" s="1"/>
  <c r="K1137" i="12"/>
  <c r="F1130" i="12"/>
  <c r="K1130" i="12" s="1"/>
  <c r="K1139" i="12"/>
  <c r="K1150" i="12"/>
  <c r="K1152" i="12"/>
  <c r="K1174" i="12"/>
  <c r="K1176" i="12"/>
  <c r="K1178" i="12"/>
  <c r="K1180" i="12"/>
  <c r="K1182" i="12"/>
  <c r="K1184" i="12"/>
  <c r="K1186" i="12"/>
  <c r="K1199" i="12"/>
  <c r="K1202" i="12"/>
  <c r="K1205" i="12"/>
  <c r="K1207" i="12"/>
  <c r="K1213" i="12"/>
  <c r="H124" i="12"/>
  <c r="H77" i="12"/>
  <c r="K76" i="12"/>
  <c r="G124" i="12"/>
  <c r="G77" i="12"/>
  <c r="F78" i="12"/>
  <c r="K78" i="12" s="1"/>
  <c r="F124" i="12"/>
  <c r="K232" i="12"/>
  <c r="K271" i="12"/>
  <c r="K274" i="12"/>
  <c r="K299" i="12"/>
  <c r="K311" i="12"/>
  <c r="K313" i="12"/>
  <c r="J415" i="12"/>
  <c r="K417" i="12"/>
  <c r="K421" i="12"/>
  <c r="K444" i="12"/>
  <c r="K446" i="12"/>
  <c r="K448" i="12"/>
  <c r="K450" i="12"/>
  <c r="K452" i="12"/>
  <c r="K471" i="12"/>
  <c r="K478" i="12"/>
  <c r="F473" i="12"/>
  <c r="K473" i="12" s="1"/>
  <c r="K480" i="12"/>
  <c r="F475" i="12"/>
  <c r="K475" i="12" s="1"/>
  <c r="K482" i="12"/>
  <c r="E501" i="12"/>
  <c r="E513" i="12"/>
  <c r="K525" i="12"/>
  <c r="K530" i="12"/>
  <c r="K532" i="12"/>
  <c r="K534" i="12"/>
  <c r="K536" i="12"/>
  <c r="K538" i="12"/>
  <c r="K555" i="12"/>
  <c r="K557" i="12"/>
  <c r="K559" i="12"/>
  <c r="K598" i="12"/>
  <c r="K600" i="12"/>
  <c r="K645" i="12"/>
  <c r="K650" i="12"/>
  <c r="K655" i="12"/>
  <c r="K660" i="12"/>
  <c r="F639" i="12"/>
  <c r="K662" i="12"/>
  <c r="F640" i="12"/>
  <c r="K663" i="12"/>
  <c r="F641" i="12"/>
  <c r="K664" i="12"/>
  <c r="F642" i="12"/>
  <c r="K665" i="12"/>
  <c r="K706" i="12"/>
  <c r="K774" i="12"/>
  <c r="K477" i="12"/>
  <c r="K472" i="12"/>
  <c r="K479" i="12"/>
  <c r="K474" i="12"/>
  <c r="K481" i="12"/>
  <c r="K594" i="12"/>
  <c r="F638" i="12"/>
  <c r="K661" i="12"/>
  <c r="G83" i="12"/>
  <c r="H83" i="12"/>
  <c r="K228" i="12"/>
  <c r="K255" i="12"/>
  <c r="K25" i="12"/>
  <c r="F22" i="12"/>
  <c r="H22" i="12"/>
  <c r="J22" i="12"/>
  <c r="K27" i="12"/>
  <c r="K29" i="12"/>
  <c r="K31" i="12"/>
  <c r="K33" i="12"/>
  <c r="E91" i="12"/>
  <c r="E100" i="12"/>
  <c r="E103" i="12"/>
  <c r="K125" i="12"/>
  <c r="K126" i="12"/>
  <c r="K127" i="12"/>
  <c r="K129" i="12"/>
  <c r="F83" i="12"/>
  <c r="K131" i="12"/>
  <c r="F85" i="12"/>
  <c r="K85" i="12" s="1"/>
  <c r="K270" i="12"/>
  <c r="K272" i="12"/>
  <c r="K273" i="12"/>
  <c r="K275" i="12"/>
  <c r="K298" i="12"/>
  <c r="K300" i="12"/>
  <c r="K26" i="12"/>
  <c r="F79" i="12"/>
  <c r="K79" i="12" s="1"/>
  <c r="K128" i="12"/>
  <c r="E149" i="12"/>
  <c r="K309" i="12"/>
  <c r="H830" i="12"/>
  <c r="G831" i="12"/>
  <c r="I831" i="12"/>
  <c r="F832" i="12"/>
  <c r="I837" i="12"/>
  <c r="J330" i="12"/>
  <c r="J292" i="12"/>
  <c r="E389" i="12"/>
  <c r="E398" i="12"/>
  <c r="G415" i="12"/>
  <c r="I415" i="12"/>
  <c r="E153" i="12"/>
  <c r="E182" i="12"/>
  <c r="E192" i="12"/>
  <c r="E205" i="12"/>
  <c r="E214" i="12"/>
  <c r="E217" i="12"/>
  <c r="E225" i="12"/>
  <c r="E325" i="12"/>
  <c r="E393" i="12"/>
  <c r="H415" i="12"/>
  <c r="F1124" i="12"/>
  <c r="E1001" i="12"/>
  <c r="G830" i="12"/>
  <c r="G832" i="12"/>
  <c r="I832" i="12"/>
  <c r="G834" i="12"/>
  <c r="I834" i="12"/>
  <c r="F835" i="12"/>
  <c r="G836" i="12"/>
  <c r="H838" i="12"/>
  <c r="J838" i="12"/>
  <c r="H840" i="12"/>
  <c r="H20" i="12" s="1"/>
  <c r="J840" i="12"/>
  <c r="J20" i="12" s="1"/>
  <c r="H841" i="12"/>
  <c r="J841" i="12"/>
  <c r="E79" i="12"/>
  <c r="E36" i="12"/>
  <c r="E62" i="12"/>
  <c r="E199" i="12"/>
  <c r="E264" i="12"/>
  <c r="H268" i="12"/>
  <c r="J268" i="12"/>
  <c r="G442" i="12"/>
  <c r="I442" i="12"/>
  <c r="E49" i="12"/>
  <c r="E185" i="12"/>
  <c r="E189" i="12"/>
  <c r="E261" i="12"/>
  <c r="G268" i="12"/>
  <c r="I268" i="12"/>
  <c r="F268" i="12"/>
  <c r="F442" i="12"/>
  <c r="H442" i="12"/>
  <c r="J442" i="12"/>
  <c r="E127" i="12"/>
  <c r="E144" i="12"/>
  <c r="F834" i="12"/>
  <c r="J836" i="12"/>
  <c r="G833" i="12"/>
  <c r="I833" i="12"/>
  <c r="G835" i="12"/>
  <c r="I835" i="12"/>
  <c r="I836" i="12"/>
  <c r="E998" i="12"/>
  <c r="I476" i="12"/>
  <c r="E478" i="12"/>
  <c r="E471" i="12" s="1"/>
  <c r="E561" i="12"/>
  <c r="E554" i="12" s="1"/>
  <c r="E1179" i="12"/>
  <c r="G476" i="12"/>
  <c r="I643" i="12"/>
  <c r="F608" i="12"/>
  <c r="E697" i="12"/>
  <c r="I705" i="12"/>
  <c r="E710" i="12"/>
  <c r="E723" i="12"/>
  <c r="G768" i="12"/>
  <c r="I768" i="12"/>
  <c r="J768" i="12"/>
  <c r="E802" i="12"/>
  <c r="E811" i="12"/>
  <c r="E815" i="12"/>
  <c r="E826" i="12"/>
  <c r="E1137" i="12"/>
  <c r="E1128" i="12" s="1"/>
  <c r="E23" i="12"/>
  <c r="E27" i="12"/>
  <c r="E31" i="12"/>
  <c r="E346" i="12"/>
  <c r="E349" i="12"/>
  <c r="G375" i="12"/>
  <c r="I375" i="12"/>
  <c r="F416" i="12"/>
  <c r="K416" i="12" s="1"/>
  <c r="E431" i="12"/>
  <c r="J635" i="12"/>
  <c r="J569" i="12" s="1"/>
  <c r="F653" i="12"/>
  <c r="I658" i="12"/>
  <c r="J834" i="12"/>
  <c r="H831" i="12"/>
  <c r="J831" i="12"/>
  <c r="H835" i="12"/>
  <c r="I838" i="12"/>
  <c r="I841" i="12"/>
  <c r="J832" i="12"/>
  <c r="E1002" i="12"/>
  <c r="F1054" i="12"/>
  <c r="G1173" i="12"/>
  <c r="E1177" i="12"/>
  <c r="I20" i="12"/>
  <c r="F420" i="12"/>
  <c r="K420" i="12" s="1"/>
  <c r="F418" i="12"/>
  <c r="K418" i="12" s="1"/>
  <c r="F422" i="12"/>
  <c r="K422" i="12" s="1"/>
  <c r="F1059" i="12"/>
  <c r="H1059" i="12"/>
  <c r="I1079" i="12"/>
  <c r="F1079" i="12"/>
  <c r="H1079" i="12"/>
  <c r="J1079" i="12"/>
  <c r="E1118" i="12"/>
  <c r="I1148" i="12"/>
  <c r="I1135" i="12" s="1"/>
  <c r="I1126" i="12" s="1"/>
  <c r="F1148" i="12"/>
  <c r="H1148" i="12"/>
  <c r="H1135" i="12" s="1"/>
  <c r="H1126" i="12" s="1"/>
  <c r="H1122" i="12" s="1"/>
  <c r="H1121" i="12" s="1"/>
  <c r="H1120" i="12" s="1"/>
  <c r="J1148" i="12"/>
  <c r="J1135" i="12" s="1"/>
  <c r="J1126" i="12" s="1"/>
  <c r="I1201" i="12"/>
  <c r="G528" i="12"/>
  <c r="E581" i="12"/>
  <c r="E679" i="12"/>
  <c r="E930" i="12"/>
  <c r="E917" i="12" s="1"/>
  <c r="E956" i="12"/>
  <c r="E943" i="12" s="1"/>
  <c r="E131" i="12"/>
  <c r="E85" i="12" s="1"/>
  <c r="E116" i="12"/>
  <c r="E363" i="12"/>
  <c r="F419" i="12"/>
  <c r="K419" i="12" s="1"/>
  <c r="E479" i="12"/>
  <c r="E472" i="12" s="1"/>
  <c r="E481" i="12"/>
  <c r="E474" i="12" s="1"/>
  <c r="E490" i="12"/>
  <c r="E482" i="12"/>
  <c r="E475" i="12" s="1"/>
  <c r="E525" i="12"/>
  <c r="E624" i="12"/>
  <c r="F635" i="12"/>
  <c r="H635" i="12"/>
  <c r="H569" i="12" s="1"/>
  <c r="H648" i="12"/>
  <c r="E609" i="12"/>
  <c r="H643" i="12"/>
  <c r="G643" i="12"/>
  <c r="E643" i="12"/>
  <c r="E658" i="12"/>
  <c r="E718" i="12"/>
  <c r="K732" i="12"/>
  <c r="E740" i="12"/>
  <c r="F768" i="12"/>
  <c r="E787" i="12"/>
  <c r="E790" i="12"/>
  <c r="E878" i="12"/>
  <c r="H832" i="12"/>
  <c r="E1003" i="12"/>
  <c r="E1005" i="12"/>
  <c r="E1007" i="12"/>
  <c r="E1021" i="12"/>
  <c r="E1000" i="12"/>
  <c r="E1004" i="12"/>
  <c r="E1006" i="12"/>
  <c r="H1056" i="12"/>
  <c r="J1056" i="12"/>
  <c r="H1201" i="12"/>
  <c r="J1201" i="12"/>
  <c r="I839" i="12"/>
  <c r="E1059" i="12"/>
  <c r="E1074" i="12"/>
  <c r="E1054" i="12" s="1"/>
  <c r="F1075" i="12"/>
  <c r="F1055" i="12" s="1"/>
  <c r="E1099" i="12"/>
  <c r="E1052" i="12" s="1"/>
  <c r="E1185" i="12"/>
  <c r="E1186" i="12"/>
  <c r="E1207" i="12"/>
  <c r="H19" i="12"/>
  <c r="E280" i="12"/>
  <c r="J124" i="12"/>
  <c r="E333" i="12"/>
  <c r="E292" i="12" s="1"/>
  <c r="E25" i="12"/>
  <c r="E29" i="12"/>
  <c r="E33" i="12"/>
  <c r="E24" i="12"/>
  <c r="E26" i="12"/>
  <c r="E28" i="12"/>
  <c r="E30" i="12"/>
  <c r="E32" i="12"/>
  <c r="E34" i="12"/>
  <c r="E107" i="12"/>
  <c r="E106" i="12" s="1"/>
  <c r="E118" i="12"/>
  <c r="G330" i="12"/>
  <c r="E355" i="12"/>
  <c r="E368" i="12"/>
  <c r="E395" i="12"/>
  <c r="E406" i="12"/>
  <c r="E425" i="12"/>
  <c r="E417" i="12" s="1"/>
  <c r="E427" i="12"/>
  <c r="E419" i="12" s="1"/>
  <c r="E480" i="12"/>
  <c r="E473" i="12" s="1"/>
  <c r="H528" i="12"/>
  <c r="J528" i="12"/>
  <c r="I608" i="12"/>
  <c r="H608" i="12"/>
  <c r="J608" i="12"/>
  <c r="H636" i="12"/>
  <c r="H570" i="12" s="1"/>
  <c r="G635" i="12"/>
  <c r="G569" i="12" s="1"/>
  <c r="F648" i="12"/>
  <c r="H653" i="12"/>
  <c r="J653" i="12"/>
  <c r="G637" i="12"/>
  <c r="G571" i="12" s="1"/>
  <c r="I637" i="12"/>
  <c r="I571" i="12" s="1"/>
  <c r="I12" i="12" s="1"/>
  <c r="G705" i="12"/>
  <c r="E730" i="12"/>
  <c r="E734" i="12"/>
  <c r="F763" i="12"/>
  <c r="K763" i="12" s="1"/>
  <c r="H768" i="12"/>
  <c r="E776" i="12"/>
  <c r="E783" i="12"/>
  <c r="E794" i="12"/>
  <c r="E799" i="12"/>
  <c r="E807" i="12"/>
  <c r="E823" i="12"/>
  <c r="F831" i="12"/>
  <c r="F836" i="12"/>
  <c r="E892" i="12"/>
  <c r="J830" i="12"/>
  <c r="F833" i="12"/>
  <c r="H833" i="12"/>
  <c r="H13" i="12" s="1"/>
  <c r="J833" i="12"/>
  <c r="H834" i="12"/>
  <c r="G837" i="12"/>
  <c r="G838" i="12"/>
  <c r="G839" i="12"/>
  <c r="G840" i="12"/>
  <c r="G20" i="12" s="1"/>
  <c r="G841" i="12"/>
  <c r="J995" i="12"/>
  <c r="E429" i="12"/>
  <c r="E421" i="12" s="1"/>
  <c r="F524" i="12"/>
  <c r="K524" i="12" s="1"/>
  <c r="I528" i="12"/>
  <c r="F636" i="12"/>
  <c r="E761" i="12"/>
  <c r="F837" i="12"/>
  <c r="F874" i="12"/>
  <c r="K874" i="12" s="1"/>
  <c r="H836" i="12"/>
  <c r="E1033" i="12"/>
  <c r="I1054" i="12"/>
  <c r="E1133" i="12"/>
  <c r="E1124" i="12" s="1"/>
  <c r="F1136" i="12"/>
  <c r="F1131" i="12" s="1"/>
  <c r="E1139" i="12"/>
  <c r="E1130" i="12" s="1"/>
  <c r="E1153" i="12"/>
  <c r="E1175" i="12"/>
  <c r="E1181" i="12"/>
  <c r="E1183" i="12"/>
  <c r="E1203" i="12"/>
  <c r="G1201" i="12"/>
  <c r="E1205" i="12"/>
  <c r="E1053" i="12"/>
  <c r="J75" i="12"/>
  <c r="E77" i="12"/>
  <c r="I124" i="12"/>
  <c r="E202" i="12"/>
  <c r="E270" i="12"/>
  <c r="E269" i="12"/>
  <c r="H375" i="12"/>
  <c r="E434" i="12"/>
  <c r="E455" i="12"/>
  <c r="H476" i="12"/>
  <c r="J476" i="12"/>
  <c r="E483" i="12"/>
  <c r="E541" i="12"/>
  <c r="E555" i="12"/>
  <c r="E648" i="12"/>
  <c r="E635" i="12"/>
  <c r="I648" i="12"/>
  <c r="I635" i="12"/>
  <c r="H637" i="12"/>
  <c r="J637" i="12"/>
  <c r="J571" i="12" s="1"/>
  <c r="J648" i="12"/>
  <c r="E637" i="12"/>
  <c r="E571" i="12" s="1"/>
  <c r="J643" i="12"/>
  <c r="J636" i="12"/>
  <c r="J570" i="12" s="1"/>
  <c r="E636" i="12"/>
  <c r="E653" i="12"/>
  <c r="E610" i="12"/>
  <c r="G653" i="12"/>
  <c r="I653" i="12"/>
  <c r="E686" i="12"/>
  <c r="E700" i="12"/>
  <c r="H705" i="12"/>
  <c r="J705" i="12"/>
  <c r="E714" i="12"/>
  <c r="K733" i="12"/>
  <c r="F830" i="12"/>
  <c r="H842" i="12"/>
  <c r="E836" i="12"/>
  <c r="F995" i="12"/>
  <c r="H995" i="12"/>
  <c r="I1059" i="12"/>
  <c r="H1094" i="12"/>
  <c r="I1094" i="12"/>
  <c r="I1048" i="12"/>
  <c r="K1048" i="12" s="1"/>
  <c r="F1094" i="12"/>
  <c r="F1049" i="12"/>
  <c r="K1049" i="12" s="1"/>
  <c r="I1173" i="12"/>
  <c r="I830" i="12"/>
  <c r="J842" i="12"/>
  <c r="J837" i="12"/>
  <c r="J17" i="12" s="1"/>
  <c r="E835" i="12"/>
  <c r="E1008" i="12"/>
  <c r="E1097" i="12"/>
  <c r="E1050" i="12" s="1"/>
  <c r="F1050" i="12"/>
  <c r="K1050" i="12" s="1"/>
  <c r="E904" i="12"/>
  <c r="E891" i="12" s="1"/>
  <c r="H1055" i="12"/>
  <c r="J1055" i="12"/>
  <c r="J1131" i="12"/>
  <c r="F1173" i="12"/>
  <c r="H1173" i="12"/>
  <c r="J1173" i="12"/>
  <c r="F1208" i="12"/>
  <c r="K1208" i="12" s="1"/>
  <c r="I468" i="12"/>
  <c r="E88" i="12"/>
  <c r="E117" i="12"/>
  <c r="H156" i="12"/>
  <c r="K156" i="12" s="1"/>
  <c r="E158" i="12"/>
  <c r="E156" i="12" s="1"/>
  <c r="I330" i="12"/>
  <c r="F375" i="12"/>
  <c r="F423" i="12"/>
  <c r="E426" i="12"/>
  <c r="E418" i="12" s="1"/>
  <c r="E428" i="12"/>
  <c r="E420" i="12" s="1"/>
  <c r="E430" i="12"/>
  <c r="E422" i="12" s="1"/>
  <c r="E443" i="12"/>
  <c r="E442" i="12" s="1"/>
  <c r="F476" i="12"/>
  <c r="E477" i="12"/>
  <c r="E470" i="12" s="1"/>
  <c r="F528" i="12"/>
  <c r="E529" i="12"/>
  <c r="E528" i="12" s="1"/>
  <c r="G608" i="12"/>
  <c r="G636" i="12"/>
  <c r="G570" i="12" s="1"/>
  <c r="I636" i="12"/>
  <c r="I570" i="12" s="1"/>
  <c r="F637" i="12"/>
  <c r="F643" i="12"/>
  <c r="G648" i="12"/>
  <c r="G658" i="12"/>
  <c r="F658" i="12"/>
  <c r="H658" i="12"/>
  <c r="J658" i="12"/>
  <c r="G842" i="12"/>
  <c r="E873" i="12"/>
  <c r="E918" i="12"/>
  <c r="F969" i="12"/>
  <c r="K969" i="12" s="1"/>
  <c r="G995" i="12"/>
  <c r="I995" i="12"/>
  <c r="I1076" i="12"/>
  <c r="I1077" i="12" s="1"/>
  <c r="I1078" i="12" s="1"/>
  <c r="I1055" i="12"/>
  <c r="J1077" i="12"/>
  <c r="J1078" i="12" s="1"/>
  <c r="F705" i="12"/>
  <c r="E731" i="12"/>
  <c r="E760" i="12"/>
  <c r="E762" i="12"/>
  <c r="H1077" i="12"/>
  <c r="H1078" i="12" s="1"/>
  <c r="G1056" i="12"/>
  <c r="I1056" i="12"/>
  <c r="G1059" i="12"/>
  <c r="G1075" i="12"/>
  <c r="G1079" i="12"/>
  <c r="E1081" i="12"/>
  <c r="E1083" i="12"/>
  <c r="G1094" i="12"/>
  <c r="E1096" i="12"/>
  <c r="E1049" i="12" s="1"/>
  <c r="E1098" i="12"/>
  <c r="E1051" i="12" s="1"/>
  <c r="G1124" i="12"/>
  <c r="I1124" i="12"/>
  <c r="E1132" i="12"/>
  <c r="E1123" i="12" s="1"/>
  <c r="E1134" i="12"/>
  <c r="E1125" i="12" s="1"/>
  <c r="E1138" i="12"/>
  <c r="E1129" i="12" s="1"/>
  <c r="E1223" i="12"/>
  <c r="G1148" i="12"/>
  <c r="G1135" i="12" s="1"/>
  <c r="G1126" i="12" s="1"/>
  <c r="E1154" i="12"/>
  <c r="E1156" i="12"/>
  <c r="E1176" i="12"/>
  <c r="E1178" i="12"/>
  <c r="E1180" i="12"/>
  <c r="E1182" i="12"/>
  <c r="E1184" i="12"/>
  <c r="E1204" i="12"/>
  <c r="E1206" i="12"/>
  <c r="E1222" i="12"/>
  <c r="E768" i="12" l="1"/>
  <c r="E570" i="12"/>
  <c r="H18" i="12"/>
  <c r="J13" i="12"/>
  <c r="E830" i="12"/>
  <c r="E995" i="12"/>
  <c r="G13" i="12"/>
  <c r="J18" i="12"/>
  <c r="E468" i="12"/>
  <c r="I18" i="12"/>
  <c r="I13" i="12"/>
  <c r="E569" i="12"/>
  <c r="E568" i="12" s="1"/>
  <c r="I17" i="12"/>
  <c r="E16" i="12"/>
  <c r="J19" i="12"/>
  <c r="E415" i="12"/>
  <c r="F1209" i="12"/>
  <c r="K1209" i="12" s="1"/>
  <c r="F1224" i="12"/>
  <c r="K1224" i="12" s="1"/>
  <c r="E874" i="12"/>
  <c r="E851" i="12" s="1"/>
  <c r="E838" i="12" s="1"/>
  <c r="E763" i="12"/>
  <c r="K77" i="12"/>
  <c r="K83" i="12"/>
  <c r="E1136" i="12"/>
  <c r="E1127" i="12" s="1"/>
  <c r="I19" i="12"/>
  <c r="E268" i="12"/>
  <c r="G17" i="12"/>
  <c r="G10" i="12"/>
  <c r="F735" i="12"/>
  <c r="K735" i="12" s="1"/>
  <c r="F764" i="12"/>
  <c r="K764" i="12" s="1"/>
  <c r="H10" i="12"/>
  <c r="E84" i="12"/>
  <c r="J1122" i="12"/>
  <c r="J1121" i="12" s="1"/>
  <c r="J1053" i="12" s="1"/>
  <c r="E1208" i="12"/>
  <c r="K1124" i="12"/>
  <c r="K643" i="12"/>
  <c r="K528" i="12"/>
  <c r="K476" i="12"/>
  <c r="E115" i="12"/>
  <c r="H1131" i="12"/>
  <c r="I1131" i="12"/>
  <c r="E608" i="12"/>
  <c r="H634" i="12"/>
  <c r="E732" i="12"/>
  <c r="E14" i="12" s="1"/>
  <c r="G12" i="12"/>
  <c r="G75" i="12"/>
  <c r="K423" i="12"/>
  <c r="E1148" i="12"/>
  <c r="F1127" i="12"/>
  <c r="K1127" i="12" s="1"/>
  <c r="K1136" i="12"/>
  <c r="F1076" i="12"/>
  <c r="K1075" i="12"/>
  <c r="K1079" i="12"/>
  <c r="K1054" i="12"/>
  <c r="K608" i="12"/>
  <c r="K330" i="12"/>
  <c r="K1126" i="12"/>
  <c r="K1173" i="12"/>
  <c r="K1094" i="12"/>
  <c r="K995" i="12"/>
  <c r="E330" i="12"/>
  <c r="E83" i="12"/>
  <c r="K1148" i="12"/>
  <c r="K1059" i="12"/>
  <c r="H75" i="12"/>
  <c r="K292" i="12"/>
  <c r="K1135" i="12"/>
  <c r="K35" i="12"/>
  <c r="K833" i="12"/>
  <c r="K648" i="12"/>
  <c r="K705" i="12"/>
  <c r="K658" i="12"/>
  <c r="K637" i="12"/>
  <c r="K375" i="12"/>
  <c r="J12" i="12"/>
  <c r="I569" i="12"/>
  <c r="I10" i="12" s="1"/>
  <c r="I634" i="12"/>
  <c r="K636" i="12"/>
  <c r="K831" i="12"/>
  <c r="F569" i="12"/>
  <c r="F10" i="12" s="1"/>
  <c r="K635" i="12"/>
  <c r="K834" i="12"/>
  <c r="K830" i="12"/>
  <c r="F75" i="12"/>
  <c r="F572" i="12"/>
  <c r="K572" i="12" s="1"/>
  <c r="K638" i="12"/>
  <c r="K837" i="12"/>
  <c r="K836" i="12"/>
  <c r="K653" i="12"/>
  <c r="K442" i="12"/>
  <c r="K835" i="12"/>
  <c r="K832" i="12"/>
  <c r="F468" i="12"/>
  <c r="K470" i="12"/>
  <c r="F576" i="12"/>
  <c r="K576" i="12" s="1"/>
  <c r="K642" i="12"/>
  <c r="F575" i="12"/>
  <c r="K575" i="12" s="1"/>
  <c r="K641" i="12"/>
  <c r="F574" i="12"/>
  <c r="K574" i="12" s="1"/>
  <c r="K640" i="12"/>
  <c r="F573" i="12"/>
  <c r="K573" i="12" s="1"/>
  <c r="K639" i="12"/>
  <c r="K768" i="12"/>
  <c r="H17" i="12"/>
  <c r="K124" i="12"/>
  <c r="E35" i="12"/>
  <c r="K22" i="12"/>
  <c r="E124" i="12"/>
  <c r="E78" i="12"/>
  <c r="E12" i="12" s="1"/>
  <c r="K268" i="12"/>
  <c r="E81" i="12"/>
  <c r="E1173" i="12"/>
  <c r="J16" i="12"/>
  <c r="H1053" i="12"/>
  <c r="H16" i="12" s="1"/>
  <c r="J10" i="12"/>
  <c r="I829" i="12"/>
  <c r="F415" i="12"/>
  <c r="K415" i="12" s="1"/>
  <c r="E22" i="12"/>
  <c r="J1120" i="12"/>
  <c r="J1052" i="12" s="1"/>
  <c r="J15" i="12" s="1"/>
  <c r="H571" i="12"/>
  <c r="H12" i="12" s="1"/>
  <c r="G829" i="12"/>
  <c r="G19" i="12"/>
  <c r="E733" i="12"/>
  <c r="F851" i="12"/>
  <c r="F875" i="12"/>
  <c r="K875" i="12" s="1"/>
  <c r="H829" i="12"/>
  <c r="I1066" i="12"/>
  <c r="H1066" i="12"/>
  <c r="J634" i="12"/>
  <c r="F570" i="12"/>
  <c r="K570" i="12" s="1"/>
  <c r="J829" i="12"/>
  <c r="E634" i="12"/>
  <c r="E1209" i="12"/>
  <c r="F1225" i="12"/>
  <c r="K1225" i="12" s="1"/>
  <c r="E1135" i="12"/>
  <c r="E1131" i="12" s="1"/>
  <c r="G1131" i="12"/>
  <c r="E1075" i="12"/>
  <c r="E1055" i="12" s="1"/>
  <c r="I1122" i="12"/>
  <c r="I1121" i="12" s="1"/>
  <c r="J1066" i="12"/>
  <c r="G634" i="12"/>
  <c r="G568" i="12"/>
  <c r="E423" i="12"/>
  <c r="J568" i="12"/>
  <c r="J468" i="12"/>
  <c r="G1076" i="12"/>
  <c r="G1055" i="12"/>
  <c r="G18" i="12" s="1"/>
  <c r="E1094" i="12"/>
  <c r="H1052" i="12"/>
  <c r="H15" i="12" s="1"/>
  <c r="H1119" i="12"/>
  <c r="E1079" i="12"/>
  <c r="E850" i="12"/>
  <c r="F765" i="12"/>
  <c r="K765" i="12" s="1"/>
  <c r="E764" i="12"/>
  <c r="F736" i="12"/>
  <c r="F634" i="12"/>
  <c r="F571" i="12"/>
  <c r="E476" i="12"/>
  <c r="G468" i="12"/>
  <c r="H468" i="12"/>
  <c r="I75" i="12"/>
  <c r="E1224" i="12" l="1"/>
  <c r="F1210" i="12"/>
  <c r="K1210" i="12" s="1"/>
  <c r="E15" i="12"/>
  <c r="F13" i="12"/>
  <c r="F14" i="12"/>
  <c r="E875" i="12"/>
  <c r="E852" i="12" s="1"/>
  <c r="E839" i="12" s="1"/>
  <c r="K736" i="12"/>
  <c r="E10" i="12"/>
  <c r="K571" i="12"/>
  <c r="I568" i="12"/>
  <c r="F15" i="12"/>
  <c r="E735" i="12"/>
  <c r="E17" i="12" s="1"/>
  <c r="F852" i="12"/>
  <c r="K852" i="12" s="1"/>
  <c r="F17" i="12"/>
  <c r="K17" i="12" s="1"/>
  <c r="F16" i="12"/>
  <c r="K569" i="12"/>
  <c r="K1131" i="12"/>
  <c r="K851" i="12"/>
  <c r="K1076" i="12"/>
  <c r="F1056" i="12"/>
  <c r="K1056" i="12" s="1"/>
  <c r="F1077" i="12"/>
  <c r="K1055" i="12"/>
  <c r="K468" i="12"/>
  <c r="E75" i="12"/>
  <c r="K634" i="12"/>
  <c r="K75" i="12"/>
  <c r="K10" i="12"/>
  <c r="F838" i="12"/>
  <c r="F18" i="12" s="1"/>
  <c r="K18" i="12" s="1"/>
  <c r="H568" i="12"/>
  <c r="F876" i="12"/>
  <c r="K876" i="12" s="1"/>
  <c r="F11" i="12"/>
  <c r="F12" i="12"/>
  <c r="K12" i="12" s="1"/>
  <c r="E1126" i="12"/>
  <c r="J1119" i="12"/>
  <c r="J1118" i="12" s="1"/>
  <c r="F1122" i="12"/>
  <c r="F766" i="12"/>
  <c r="K766" i="12" s="1"/>
  <c r="E765" i="12"/>
  <c r="F737" i="12"/>
  <c r="K737" i="12" s="1"/>
  <c r="E837" i="12"/>
  <c r="G1077" i="12"/>
  <c r="E1076" i="12"/>
  <c r="E1056" i="12" s="1"/>
  <c r="I1120" i="12"/>
  <c r="I1053" i="12"/>
  <c r="I16" i="12" s="1"/>
  <c r="G1122" i="12"/>
  <c r="G1121" i="12" s="1"/>
  <c r="K1121" i="12" s="1"/>
  <c r="F1226" i="12"/>
  <c r="K1226" i="12" s="1"/>
  <c r="E1225" i="12"/>
  <c r="F1211" i="12"/>
  <c r="K1211" i="12" s="1"/>
  <c r="F568" i="12"/>
  <c r="E736" i="12"/>
  <c r="E18" i="12" s="1"/>
  <c r="H1118" i="12"/>
  <c r="H1051" i="12"/>
  <c r="H14" i="12" s="1"/>
  <c r="E1210" i="12"/>
  <c r="F85" i="11"/>
  <c r="G85" i="11"/>
  <c r="H85" i="11"/>
  <c r="I85" i="11"/>
  <c r="J85" i="11"/>
  <c r="E85" i="11"/>
  <c r="J179" i="11"/>
  <c r="I179" i="11"/>
  <c r="H179" i="11"/>
  <c r="G179" i="11"/>
  <c r="F179" i="11"/>
  <c r="E179" i="11"/>
  <c r="F86" i="11"/>
  <c r="G86" i="11"/>
  <c r="H86" i="11"/>
  <c r="I86" i="11"/>
  <c r="J86" i="11"/>
  <c r="F81" i="11"/>
  <c r="G81" i="11"/>
  <c r="H81" i="11"/>
  <c r="I81" i="11"/>
  <c r="J81" i="11"/>
  <c r="G80" i="11"/>
  <c r="H80" i="11"/>
  <c r="I80" i="11"/>
  <c r="J80" i="11"/>
  <c r="F79" i="11"/>
  <c r="G79" i="11"/>
  <c r="H79" i="11"/>
  <c r="I79" i="11"/>
  <c r="J79" i="11"/>
  <c r="F124" i="11"/>
  <c r="G124" i="11"/>
  <c r="H124" i="11"/>
  <c r="I124" i="11"/>
  <c r="J124" i="11"/>
  <c r="F75" i="11"/>
  <c r="G75" i="11"/>
  <c r="H75" i="11"/>
  <c r="I75" i="11"/>
  <c r="J75" i="11"/>
  <c r="F242" i="11"/>
  <c r="G242" i="11"/>
  <c r="H242" i="11"/>
  <c r="I242" i="11"/>
  <c r="F194" i="11"/>
  <c r="G194" i="11"/>
  <c r="H194" i="11"/>
  <c r="I194" i="11"/>
  <c r="J194" i="11"/>
  <c r="E209" i="11"/>
  <c r="E208" i="11"/>
  <c r="E226" i="11"/>
  <c r="F760" i="11"/>
  <c r="G760" i="11"/>
  <c r="H760" i="11"/>
  <c r="I760" i="11"/>
  <c r="J760" i="11"/>
  <c r="F1119" i="11"/>
  <c r="E305" i="11"/>
  <c r="F312" i="11"/>
  <c r="E313" i="11"/>
  <c r="G312" i="11"/>
  <c r="H312" i="11"/>
  <c r="I312" i="11"/>
  <c r="J312" i="11"/>
  <c r="K312" i="11"/>
  <c r="F248" i="11"/>
  <c r="G248" i="11"/>
  <c r="H248" i="11"/>
  <c r="I248" i="11"/>
  <c r="E249" i="11"/>
  <c r="E250" i="11"/>
  <c r="F246" i="11"/>
  <c r="G246" i="11"/>
  <c r="H246" i="11"/>
  <c r="I246" i="11"/>
  <c r="J246" i="11"/>
  <c r="E247" i="11"/>
  <c r="E246" i="11" s="1"/>
  <c r="F222" i="11"/>
  <c r="G222" i="11"/>
  <c r="H222" i="11"/>
  <c r="I222" i="11"/>
  <c r="J222" i="11"/>
  <c r="F143" i="11"/>
  <c r="G143" i="11"/>
  <c r="H143" i="11"/>
  <c r="E144" i="11"/>
  <c r="E124" i="11" s="1"/>
  <c r="F184" i="11"/>
  <c r="G184" i="11"/>
  <c r="H184" i="11"/>
  <c r="I184" i="11"/>
  <c r="F177" i="11"/>
  <c r="G177" i="11"/>
  <c r="H177" i="11"/>
  <c r="I177" i="11"/>
  <c r="J177" i="11"/>
  <c r="E177" i="11"/>
  <c r="E158" i="11"/>
  <c r="E159" i="11"/>
  <c r="E160" i="11"/>
  <c r="E91" i="11"/>
  <c r="F983" i="11"/>
  <c r="F596" i="11"/>
  <c r="G596" i="11"/>
  <c r="H596" i="11"/>
  <c r="I596" i="11"/>
  <c r="J596" i="11"/>
  <c r="E1122" i="12" l="1"/>
  <c r="E13" i="12"/>
  <c r="F877" i="12"/>
  <c r="K877" i="12" s="1"/>
  <c r="J1051" i="12"/>
  <c r="J14" i="12" s="1"/>
  <c r="K568" i="12"/>
  <c r="F839" i="12"/>
  <c r="K839" i="12" s="1"/>
  <c r="F853" i="12"/>
  <c r="K853" i="12" s="1"/>
  <c r="K13" i="12"/>
  <c r="E876" i="12"/>
  <c r="E853" i="12" s="1"/>
  <c r="F865" i="12"/>
  <c r="K865" i="12" s="1"/>
  <c r="K1077" i="12"/>
  <c r="F1057" i="12"/>
  <c r="F1078" i="12"/>
  <c r="K838" i="12"/>
  <c r="K1122" i="12"/>
  <c r="F854" i="12"/>
  <c r="K854" i="12" s="1"/>
  <c r="E877" i="12"/>
  <c r="E854" i="12" s="1"/>
  <c r="E841" i="12" s="1"/>
  <c r="E1211" i="12"/>
  <c r="G1078" i="12"/>
  <c r="E1077" i="12"/>
  <c r="E1057" i="12" s="1"/>
  <c r="E737" i="12"/>
  <c r="E19" i="12" s="1"/>
  <c r="F19" i="12"/>
  <c r="K19" i="12" s="1"/>
  <c r="F1212" i="12"/>
  <c r="K1212" i="12" s="1"/>
  <c r="E1226" i="12"/>
  <c r="E1215" i="12" s="1"/>
  <c r="F1215" i="12"/>
  <c r="G1120" i="12"/>
  <c r="K1120" i="12" s="1"/>
  <c r="G1053" i="12"/>
  <c r="K1053" i="12" s="1"/>
  <c r="I1119" i="12"/>
  <c r="I1052" i="12"/>
  <c r="I15" i="12" s="1"/>
  <c r="F767" i="12"/>
  <c r="K767" i="12" s="1"/>
  <c r="E766" i="12"/>
  <c r="F738" i="12"/>
  <c r="K738" i="12" s="1"/>
  <c r="E248" i="11"/>
  <c r="F514" i="11"/>
  <c r="G514" i="11"/>
  <c r="H514" i="11"/>
  <c r="I514" i="11"/>
  <c r="J514" i="11"/>
  <c r="F916" i="11"/>
  <c r="F915" i="11"/>
  <c r="F914" i="11"/>
  <c r="F913" i="11"/>
  <c r="F912" i="11"/>
  <c r="F911" i="11"/>
  <c r="F910" i="11"/>
  <c r="F909" i="11"/>
  <c r="F908" i="11"/>
  <c r="F907" i="11"/>
  <c r="F906" i="11"/>
  <c r="F1181" i="11"/>
  <c r="J1181" i="11"/>
  <c r="G1181" i="11"/>
  <c r="H1181" i="11"/>
  <c r="I1181" i="11"/>
  <c r="F1206" i="11"/>
  <c r="G1206" i="11"/>
  <c r="H1206" i="11"/>
  <c r="I1206" i="11"/>
  <c r="J1206" i="11"/>
  <c r="E1207" i="11"/>
  <c r="E1206" i="11" s="1"/>
  <c r="F696" i="11"/>
  <c r="G696" i="11"/>
  <c r="H696" i="11"/>
  <c r="I696" i="11"/>
  <c r="J696" i="11"/>
  <c r="F695" i="11"/>
  <c r="G695" i="11"/>
  <c r="H695" i="11"/>
  <c r="I695" i="11"/>
  <c r="J695" i="11"/>
  <c r="F694" i="11"/>
  <c r="G694" i="11"/>
  <c r="H694" i="11"/>
  <c r="I694" i="11"/>
  <c r="J694" i="11"/>
  <c r="F710" i="11"/>
  <c r="G710" i="11"/>
  <c r="H710" i="11"/>
  <c r="I710" i="11"/>
  <c r="J710" i="11"/>
  <c r="E712" i="11"/>
  <c r="E713" i="11"/>
  <c r="E711" i="11"/>
  <c r="E700" i="11"/>
  <c r="E699" i="11"/>
  <c r="F718" i="11"/>
  <c r="F717" i="11"/>
  <c r="F716" i="11"/>
  <c r="E716" i="11" s="1"/>
  <c r="F506" i="11"/>
  <c r="K508" i="11"/>
  <c r="E508" i="11"/>
  <c r="F1121" i="11"/>
  <c r="F1120" i="11"/>
  <c r="F1122" i="11"/>
  <c r="E1146" i="11"/>
  <c r="E1196" i="11"/>
  <c r="F840" i="12" l="1"/>
  <c r="K840" i="12" s="1"/>
  <c r="F842" i="12"/>
  <c r="K842" i="12" s="1"/>
  <c r="E865" i="12"/>
  <c r="K1215" i="12"/>
  <c r="E842" i="12"/>
  <c r="K1078" i="12"/>
  <c r="F1066" i="12"/>
  <c r="F1058" i="12"/>
  <c r="E1058" i="12" s="1"/>
  <c r="E1046" i="12" s="1"/>
  <c r="K1057" i="12"/>
  <c r="G16" i="12"/>
  <c r="K16" i="12" s="1"/>
  <c r="E1212" i="12"/>
  <c r="E1078" i="12"/>
  <c r="E1066" i="12" s="1"/>
  <c r="G1066" i="12"/>
  <c r="F1201" i="12"/>
  <c r="K1201" i="12" s="1"/>
  <c r="E738" i="12"/>
  <c r="E767" i="12"/>
  <c r="E756" i="12" s="1"/>
  <c r="F739" i="12"/>
  <c r="K739" i="12" s="1"/>
  <c r="F756" i="12"/>
  <c r="I1118" i="12"/>
  <c r="I1051" i="12"/>
  <c r="I14" i="12" s="1"/>
  <c r="G1119" i="12"/>
  <c r="K1119" i="12" s="1"/>
  <c r="G1052" i="12"/>
  <c r="K1052" i="12" s="1"/>
  <c r="F841" i="12"/>
  <c r="K841" i="12" s="1"/>
  <c r="E840" i="12"/>
  <c r="E829" i="12" s="1"/>
  <c r="K710" i="11"/>
  <c r="E710" i="11"/>
  <c r="E20" i="12" l="1"/>
  <c r="F727" i="12"/>
  <c r="K727" i="12" s="1"/>
  <c r="F20" i="12"/>
  <c r="K20" i="12" s="1"/>
  <c r="F1046" i="12"/>
  <c r="K1066" i="12"/>
  <c r="K756" i="12"/>
  <c r="E1201" i="12"/>
  <c r="F829" i="12"/>
  <c r="G15" i="12"/>
  <c r="K15" i="12" s="1"/>
  <c r="E739" i="12"/>
  <c r="E21" i="12" s="1"/>
  <c r="F21" i="12"/>
  <c r="F9" i="12" s="1"/>
  <c r="G1118" i="12"/>
  <c r="K1118" i="12" s="1"/>
  <c r="G1051" i="12"/>
  <c r="E243" i="11"/>
  <c r="E242" i="11" s="1"/>
  <c r="K243" i="11"/>
  <c r="H157" i="11"/>
  <c r="F130" i="11"/>
  <c r="F84" i="11" s="1"/>
  <c r="G130" i="11"/>
  <c r="G84" i="11" s="1"/>
  <c r="H130" i="11"/>
  <c r="H84" i="11" s="1"/>
  <c r="I130" i="11"/>
  <c r="I84" i="11" s="1"/>
  <c r="J130" i="11"/>
  <c r="J84" i="11" s="1"/>
  <c r="F129" i="11"/>
  <c r="F83" i="11" s="1"/>
  <c r="G129" i="11"/>
  <c r="G83" i="11" s="1"/>
  <c r="H129" i="11"/>
  <c r="H83" i="11" s="1"/>
  <c r="I129" i="11"/>
  <c r="I83" i="11" s="1"/>
  <c r="J129" i="11"/>
  <c r="J83" i="11" s="1"/>
  <c r="F128" i="11"/>
  <c r="G128" i="11"/>
  <c r="G82" i="11" s="1"/>
  <c r="H128" i="11"/>
  <c r="H82" i="11" s="1"/>
  <c r="I128" i="11"/>
  <c r="I82" i="11" s="1"/>
  <c r="F131" i="11"/>
  <c r="G131" i="11"/>
  <c r="H131" i="11"/>
  <c r="I131" i="11"/>
  <c r="J131" i="11"/>
  <c r="E133" i="11"/>
  <c r="E134" i="11"/>
  <c r="K1051" i="12" l="1"/>
  <c r="G14" i="12"/>
  <c r="K14" i="12" s="1"/>
  <c r="K829" i="12"/>
  <c r="E727" i="12"/>
  <c r="E315" i="11"/>
  <c r="E316" i="11"/>
  <c r="E314" i="11"/>
  <c r="F317" i="11"/>
  <c r="K310" i="11"/>
  <c r="E310" i="11"/>
  <c r="G311" i="11"/>
  <c r="H311" i="11"/>
  <c r="I311" i="11"/>
  <c r="J311" i="11"/>
  <c r="F311" i="11"/>
  <c r="F329" i="11"/>
  <c r="G329" i="11"/>
  <c r="H329" i="11"/>
  <c r="I329" i="11"/>
  <c r="J329" i="11"/>
  <c r="E330" i="11"/>
  <c r="E329" i="11" s="1"/>
  <c r="I251" i="11"/>
  <c r="J251" i="11"/>
  <c r="K251" i="11"/>
  <c r="F251" i="11"/>
  <c r="G251" i="11"/>
  <c r="H251" i="11"/>
  <c r="E252" i="11"/>
  <c r="E253" i="11"/>
  <c r="E254" i="11"/>
  <c r="E150" i="11"/>
  <c r="K150" i="11"/>
  <c r="F207" i="11"/>
  <c r="G207" i="11"/>
  <c r="H207" i="11"/>
  <c r="E193" i="11"/>
  <c r="F90" i="11"/>
  <c r="G90" i="11"/>
  <c r="H90" i="11"/>
  <c r="I90" i="11"/>
  <c r="J90" i="11"/>
  <c r="E92" i="11"/>
  <c r="E312" i="11" l="1"/>
  <c r="E311" i="11"/>
  <c r="E251" i="11"/>
  <c r="G405" i="11" l="1"/>
  <c r="H405" i="11"/>
  <c r="I40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88" i="11"/>
  <c r="K89" i="11"/>
  <c r="K90" i="11"/>
  <c r="K93" i="11"/>
  <c r="K94" i="11"/>
  <c r="K95" i="11"/>
  <c r="K96" i="11"/>
  <c r="K97" i="11"/>
  <c r="K98" i="11"/>
  <c r="K100" i="11"/>
  <c r="K101" i="11"/>
  <c r="K103" i="11"/>
  <c r="K104" i="11"/>
  <c r="K107" i="11"/>
  <c r="K108" i="11"/>
  <c r="K109" i="11"/>
  <c r="K110" i="11"/>
  <c r="K111" i="11"/>
  <c r="K112" i="11"/>
  <c r="K113" i="11"/>
  <c r="K118" i="11"/>
  <c r="K119" i="11"/>
  <c r="K120" i="11"/>
  <c r="K121" i="11"/>
  <c r="K122" i="11"/>
  <c r="K132" i="11"/>
  <c r="K134" i="11"/>
  <c r="K136" i="11"/>
  <c r="K137" i="11"/>
  <c r="K138" i="11"/>
  <c r="K140" i="11"/>
  <c r="K141" i="11"/>
  <c r="K142" i="11"/>
  <c r="K145" i="11"/>
  <c r="K146" i="11"/>
  <c r="K147" i="11"/>
  <c r="K149" i="11"/>
  <c r="K151" i="11"/>
  <c r="K153" i="11"/>
  <c r="K154" i="11"/>
  <c r="K156" i="11"/>
  <c r="K182" i="11"/>
  <c r="K183" i="11"/>
  <c r="K185" i="11"/>
  <c r="K79" i="11" s="1"/>
  <c r="K186" i="11"/>
  <c r="K187" i="11"/>
  <c r="K189" i="11"/>
  <c r="K190" i="11"/>
  <c r="K192" i="11"/>
  <c r="K195" i="11"/>
  <c r="K197" i="11"/>
  <c r="K199" i="11"/>
  <c r="K200" i="11"/>
  <c r="K202" i="11"/>
  <c r="K203" i="11"/>
  <c r="K205" i="11"/>
  <c r="K206" i="11"/>
  <c r="K208" i="11"/>
  <c r="K211" i="11"/>
  <c r="K212" i="11"/>
  <c r="K214" i="11"/>
  <c r="K215" i="11"/>
  <c r="K217" i="11"/>
  <c r="K218" i="11"/>
  <c r="K220" i="11"/>
  <c r="K221" i="11"/>
  <c r="K223" i="11"/>
  <c r="K225" i="11"/>
  <c r="K228" i="11"/>
  <c r="K229" i="11"/>
  <c r="K230" i="11"/>
  <c r="K232" i="11"/>
  <c r="K233" i="11"/>
  <c r="K235" i="11"/>
  <c r="K237" i="11"/>
  <c r="K239" i="11"/>
  <c r="K241" i="11"/>
  <c r="K245" i="11"/>
  <c r="K263" i="11"/>
  <c r="K264" i="11"/>
  <c r="K265" i="11"/>
  <c r="K266" i="11"/>
  <c r="K268" i="11"/>
  <c r="K269" i="11"/>
  <c r="K270" i="11"/>
  <c r="K271" i="11"/>
  <c r="K272" i="11"/>
  <c r="K273" i="11"/>
  <c r="K274" i="11"/>
  <c r="K289" i="11"/>
  <c r="K291" i="11"/>
  <c r="K293" i="11"/>
  <c r="K295" i="11"/>
  <c r="K297" i="11"/>
  <c r="K299" i="11"/>
  <c r="K301" i="11"/>
  <c r="K303" i="11"/>
  <c r="K305" i="11"/>
  <c r="K306" i="11"/>
  <c r="K308" i="11"/>
  <c r="K309" i="11"/>
  <c r="K318" i="11"/>
  <c r="K319" i="11"/>
  <c r="K321" i="11"/>
  <c r="K322" i="11"/>
  <c r="K323" i="11"/>
  <c r="K324" i="11"/>
  <c r="K325" i="11"/>
  <c r="K326" i="11"/>
  <c r="K327" i="11"/>
  <c r="K328" i="11"/>
  <c r="K332" i="11"/>
  <c r="K334" i="11"/>
  <c r="K335" i="11"/>
  <c r="K337" i="11"/>
  <c r="K338" i="11"/>
  <c r="K339" i="11"/>
  <c r="K341" i="11"/>
  <c r="K343" i="11"/>
  <c r="K344" i="11"/>
  <c r="K345" i="11"/>
  <c r="K346" i="11"/>
  <c r="K348" i="11"/>
  <c r="K350" i="11"/>
  <c r="K351" i="11"/>
  <c r="K353" i="11"/>
  <c r="K355" i="11"/>
  <c r="K357" i="11"/>
  <c r="K369" i="11"/>
  <c r="K371" i="11"/>
  <c r="K373" i="11"/>
  <c r="K375" i="11"/>
  <c r="K377" i="11"/>
  <c r="K379" i="11"/>
  <c r="K380" i="11"/>
  <c r="K382" i="11"/>
  <c r="K384" i="11"/>
  <c r="K386" i="11"/>
  <c r="K388" i="11"/>
  <c r="K390" i="11"/>
  <c r="K391" i="11"/>
  <c r="K393" i="11"/>
  <c r="K395" i="11"/>
  <c r="K397" i="11"/>
  <c r="K399" i="11"/>
  <c r="K417" i="11"/>
  <c r="K418" i="11"/>
  <c r="K420" i="11"/>
  <c r="K421" i="11"/>
  <c r="K422" i="11"/>
  <c r="K423" i="11"/>
  <c r="K424" i="11"/>
  <c r="K425" i="11"/>
  <c r="K426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69" i="11"/>
  <c r="K470" i="11"/>
  <c r="K471" i="11"/>
  <c r="K472" i="11"/>
  <c r="K473" i="11"/>
  <c r="K474" i="11"/>
  <c r="K476" i="11"/>
  <c r="K477" i="11"/>
  <c r="K478" i="11"/>
  <c r="K479" i="11"/>
  <c r="K480" i="11"/>
  <c r="K481" i="11"/>
  <c r="K483" i="11"/>
  <c r="K484" i="11"/>
  <c r="K485" i="11"/>
  <c r="K487" i="11"/>
  <c r="K488" i="11"/>
  <c r="K489" i="11"/>
  <c r="K490" i="11"/>
  <c r="K491" i="11"/>
  <c r="K492" i="11"/>
  <c r="K494" i="11"/>
  <c r="K496" i="11"/>
  <c r="K497" i="11"/>
  <c r="K499" i="11"/>
  <c r="K500" i="11"/>
  <c r="K501" i="11"/>
  <c r="K502" i="11"/>
  <c r="K503" i="11"/>
  <c r="K504" i="11"/>
  <c r="K505" i="11"/>
  <c r="K507" i="11"/>
  <c r="K512" i="11"/>
  <c r="K527" i="11"/>
  <c r="K528" i="11"/>
  <c r="K529" i="11"/>
  <c r="K530" i="11"/>
  <c r="K531" i="11"/>
  <c r="K532" i="11"/>
  <c r="K533" i="11"/>
  <c r="K534" i="11"/>
  <c r="K535" i="11"/>
  <c r="K536" i="11"/>
  <c r="K537" i="11"/>
  <c r="K538" i="11"/>
  <c r="K548" i="11"/>
  <c r="K549" i="11"/>
  <c r="K550" i="11"/>
  <c r="K551" i="11"/>
  <c r="K552" i="11"/>
  <c r="K553" i="11"/>
  <c r="K554" i="11"/>
  <c r="K569" i="11"/>
  <c r="K570" i="11"/>
  <c r="K571" i="11"/>
  <c r="K572" i="11"/>
  <c r="K574" i="11"/>
  <c r="K576" i="11"/>
  <c r="K578" i="11"/>
  <c r="K580" i="11"/>
  <c r="K582" i="11"/>
  <c r="K584" i="11"/>
  <c r="K586" i="11"/>
  <c r="K588" i="11"/>
  <c r="K590" i="11"/>
  <c r="K592" i="11"/>
  <c r="K594" i="11"/>
  <c r="K598" i="11"/>
  <c r="K599" i="11"/>
  <c r="K600" i="11"/>
  <c r="K601" i="11"/>
  <c r="K602" i="11"/>
  <c r="K603" i="11"/>
  <c r="K604" i="11"/>
  <c r="K605" i="11"/>
  <c r="K606" i="11"/>
  <c r="K607" i="11"/>
  <c r="K608" i="11"/>
  <c r="K609" i="11"/>
  <c r="K610" i="11"/>
  <c r="K612" i="11"/>
  <c r="K613" i="11"/>
  <c r="K614" i="11"/>
  <c r="K615" i="11"/>
  <c r="K616" i="11"/>
  <c r="K617" i="11"/>
  <c r="K618" i="11"/>
  <c r="K619" i="11"/>
  <c r="K620" i="11"/>
  <c r="K633" i="11"/>
  <c r="K634" i="11"/>
  <c r="K638" i="11"/>
  <c r="K639" i="11"/>
  <c r="K643" i="11"/>
  <c r="K644" i="11"/>
  <c r="K653" i="11"/>
  <c r="K654" i="11"/>
  <c r="K655" i="11"/>
  <c r="K656" i="11"/>
  <c r="K657" i="11"/>
  <c r="K658" i="11"/>
  <c r="K659" i="11"/>
  <c r="K661" i="11"/>
  <c r="K663" i="11"/>
  <c r="K665" i="11"/>
  <c r="K667" i="11"/>
  <c r="K668" i="11"/>
  <c r="K669" i="11"/>
  <c r="K670" i="11"/>
  <c r="K671" i="11"/>
  <c r="K672" i="11"/>
  <c r="K674" i="11"/>
  <c r="K675" i="11"/>
  <c r="K676" i="11"/>
  <c r="K677" i="11"/>
  <c r="K678" i="11"/>
  <c r="K679" i="11"/>
  <c r="K681" i="11"/>
  <c r="K683" i="11"/>
  <c r="K685" i="11"/>
  <c r="K686" i="11"/>
  <c r="K688" i="11"/>
  <c r="K689" i="11"/>
  <c r="K690" i="11"/>
  <c r="K691" i="11"/>
  <c r="K698" i="11"/>
  <c r="K699" i="11"/>
  <c r="K700" i="11"/>
  <c r="K702" i="11"/>
  <c r="K703" i="11"/>
  <c r="K704" i="11"/>
  <c r="K706" i="11"/>
  <c r="K707" i="11"/>
  <c r="K709" i="11"/>
  <c r="K728" i="11"/>
  <c r="K729" i="11"/>
  <c r="K730" i="11"/>
  <c r="K731" i="11"/>
  <c r="K732" i="11"/>
  <c r="K733" i="11"/>
  <c r="K734" i="11"/>
  <c r="K735" i="11"/>
  <c r="K736" i="11"/>
  <c r="K737" i="11"/>
  <c r="K738" i="11"/>
  <c r="K739" i="11"/>
  <c r="K741" i="11"/>
  <c r="K742" i="11"/>
  <c r="K764" i="11"/>
  <c r="K765" i="11"/>
  <c r="K766" i="11"/>
  <c r="K767" i="11"/>
  <c r="K768" i="11"/>
  <c r="K769" i="11"/>
  <c r="K771" i="11"/>
  <c r="K772" i="11"/>
  <c r="K773" i="11"/>
  <c r="K775" i="11"/>
  <c r="K776" i="11"/>
  <c r="K778" i="11"/>
  <c r="K779" i="11"/>
  <c r="K780" i="11"/>
  <c r="K782" i="11"/>
  <c r="K783" i="11"/>
  <c r="K785" i="11"/>
  <c r="K787" i="11"/>
  <c r="K788" i="11"/>
  <c r="K790" i="11"/>
  <c r="K791" i="11"/>
  <c r="K793" i="11"/>
  <c r="K795" i="11"/>
  <c r="K796" i="11"/>
  <c r="K797" i="11"/>
  <c r="K799" i="11"/>
  <c r="K800" i="11"/>
  <c r="K801" i="11"/>
  <c r="K803" i="11"/>
  <c r="K804" i="11"/>
  <c r="K805" i="11"/>
  <c r="K807" i="11"/>
  <c r="K809" i="11"/>
  <c r="K811" i="11"/>
  <c r="K812" i="11"/>
  <c r="K814" i="11"/>
  <c r="K815" i="11"/>
  <c r="K843" i="11"/>
  <c r="K844" i="11"/>
  <c r="K845" i="11"/>
  <c r="K846" i="11"/>
  <c r="K847" i="11"/>
  <c r="K849" i="11"/>
  <c r="K850" i="11"/>
  <c r="K851" i="11"/>
  <c r="K853" i="11"/>
  <c r="K854" i="11"/>
  <c r="K855" i="11"/>
  <c r="K856" i="11"/>
  <c r="K857" i="11"/>
  <c r="K858" i="11"/>
  <c r="K859" i="11"/>
  <c r="K866" i="11"/>
  <c r="K867" i="11"/>
  <c r="K868" i="11"/>
  <c r="K869" i="11"/>
  <c r="K870" i="11"/>
  <c r="K871" i="11"/>
  <c r="K872" i="11"/>
  <c r="K873" i="11"/>
  <c r="K874" i="11"/>
  <c r="K875" i="11"/>
  <c r="K876" i="11"/>
  <c r="K877" i="11"/>
  <c r="K892" i="11"/>
  <c r="K893" i="11"/>
  <c r="K894" i="11"/>
  <c r="K895" i="11"/>
  <c r="K896" i="11"/>
  <c r="K897" i="11"/>
  <c r="K898" i="11"/>
  <c r="K899" i="11"/>
  <c r="K900" i="11"/>
  <c r="K901" i="11"/>
  <c r="K902" i="11"/>
  <c r="K903" i="11"/>
  <c r="K918" i="11"/>
  <c r="K919" i="11"/>
  <c r="K920" i="11"/>
  <c r="K921" i="11"/>
  <c r="K922" i="11"/>
  <c r="K923" i="11"/>
  <c r="K924" i="11"/>
  <c r="K925" i="11"/>
  <c r="K926" i="11"/>
  <c r="K927" i="11"/>
  <c r="K928" i="11"/>
  <c r="K929" i="11"/>
  <c r="K944" i="11"/>
  <c r="K945" i="11"/>
  <c r="K946" i="11"/>
  <c r="K947" i="11"/>
  <c r="K948" i="11"/>
  <c r="K949" i="11"/>
  <c r="K950" i="11"/>
  <c r="K951" i="11"/>
  <c r="K952" i="11"/>
  <c r="K953" i="11"/>
  <c r="K954" i="11"/>
  <c r="K955" i="11"/>
  <c r="K970" i="11"/>
  <c r="K971" i="11"/>
  <c r="K972" i="11"/>
  <c r="K973" i="11"/>
  <c r="K974" i="11"/>
  <c r="K975" i="11"/>
  <c r="K976" i="11"/>
  <c r="K977" i="11"/>
  <c r="K978" i="11"/>
  <c r="K979" i="11"/>
  <c r="K980" i="11"/>
  <c r="K981" i="11"/>
  <c r="K996" i="11"/>
  <c r="K997" i="11"/>
  <c r="K998" i="11"/>
  <c r="K999" i="11"/>
  <c r="K1000" i="11"/>
  <c r="K1001" i="11"/>
  <c r="K1002" i="11"/>
  <c r="K1003" i="11"/>
  <c r="K1004" i="11"/>
  <c r="K1005" i="11"/>
  <c r="K1006" i="11"/>
  <c r="K1007" i="11"/>
  <c r="K1009" i="11"/>
  <c r="K1010" i="11"/>
  <c r="K1011" i="11"/>
  <c r="K1012" i="11"/>
  <c r="K1013" i="11"/>
  <c r="K1014" i="11"/>
  <c r="K1015" i="11"/>
  <c r="K1016" i="11"/>
  <c r="K1017" i="11"/>
  <c r="K1018" i="11"/>
  <c r="K1019" i="11"/>
  <c r="K1021" i="11"/>
  <c r="K1022" i="11"/>
  <c r="K1023" i="11"/>
  <c r="K1024" i="11"/>
  <c r="K1025" i="11"/>
  <c r="K1026" i="11"/>
  <c r="K1027" i="11"/>
  <c r="K1028" i="11"/>
  <c r="K1029" i="11"/>
  <c r="K1030" i="11"/>
  <c r="K1031" i="11"/>
  <c r="K1032" i="11"/>
  <c r="K1050" i="11"/>
  <c r="K1051" i="11"/>
  <c r="K1052" i="11"/>
  <c r="K1054" i="11"/>
  <c r="K1055" i="11"/>
  <c r="K1056" i="11"/>
  <c r="K1057" i="11"/>
  <c r="K1058" i="11"/>
  <c r="K1059" i="11"/>
  <c r="K1060" i="11"/>
  <c r="K1072" i="11"/>
  <c r="K1074" i="11"/>
  <c r="K1076" i="11"/>
  <c r="K1078" i="11"/>
  <c r="K1080" i="11"/>
  <c r="K1088" i="11"/>
  <c r="K1090" i="11"/>
  <c r="K1092" i="11"/>
  <c r="K1094" i="11"/>
  <c r="K1096" i="11"/>
  <c r="K1098" i="11"/>
  <c r="K1100" i="11"/>
  <c r="K1102" i="11"/>
  <c r="K1104" i="11"/>
  <c r="K1127" i="11"/>
  <c r="K1128" i="11"/>
  <c r="K1129" i="11"/>
  <c r="K1130" i="11"/>
  <c r="K1131" i="11"/>
  <c r="K1132" i="11"/>
  <c r="K1133" i="11"/>
  <c r="K1134" i="11"/>
  <c r="K1144" i="11"/>
  <c r="K1145" i="11"/>
  <c r="K1146" i="11"/>
  <c r="K1147" i="11"/>
  <c r="K1148" i="11"/>
  <c r="K1149" i="11"/>
  <c r="K1150" i="11"/>
  <c r="K1151" i="11"/>
  <c r="K1166" i="11"/>
  <c r="K1167" i="11"/>
  <c r="K1168" i="11"/>
  <c r="K1169" i="11"/>
  <c r="K1170" i="11"/>
  <c r="K1171" i="11"/>
  <c r="K1172" i="11"/>
  <c r="K1173" i="11"/>
  <c r="K1174" i="11"/>
  <c r="K1175" i="11"/>
  <c r="K1176" i="11"/>
  <c r="K1177" i="11"/>
  <c r="K1179" i="11"/>
  <c r="K1193" i="11"/>
  <c r="K1195" i="11"/>
  <c r="K1196" i="11"/>
  <c r="K1197" i="11"/>
  <c r="K1198" i="11"/>
  <c r="K1199" i="11"/>
  <c r="K1200" i="11"/>
  <c r="E417" i="11"/>
  <c r="I401" i="11"/>
  <c r="H401" i="11"/>
  <c r="G401" i="11"/>
  <c r="J401" i="11"/>
  <c r="F127" i="11"/>
  <c r="F78" i="11" s="1"/>
  <c r="G127" i="11"/>
  <c r="G78" i="11" s="1"/>
  <c r="H127" i="11"/>
  <c r="H78" i="11" s="1"/>
  <c r="I127" i="11"/>
  <c r="I78" i="11" s="1"/>
  <c r="J127" i="11"/>
  <c r="J78" i="11" s="1"/>
  <c r="K1153" i="11" l="1"/>
  <c r="K127" i="11"/>
  <c r="K84" i="11"/>
  <c r="K83" i="11"/>
  <c r="K86" i="11"/>
  <c r="K131" i="11"/>
  <c r="K75" i="11"/>
  <c r="F285" i="11"/>
  <c r="G285" i="11"/>
  <c r="H285" i="11"/>
  <c r="I285" i="11"/>
  <c r="J285" i="11"/>
  <c r="F284" i="11"/>
  <c r="G284" i="11"/>
  <c r="H284" i="11"/>
  <c r="I284" i="11"/>
  <c r="J284" i="11"/>
  <c r="F283" i="11"/>
  <c r="G283" i="11"/>
  <c r="H283" i="11"/>
  <c r="I283" i="11"/>
  <c r="J283" i="11"/>
  <c r="F282" i="11"/>
  <c r="G282" i="11"/>
  <c r="H282" i="11"/>
  <c r="I282" i="11"/>
  <c r="J282" i="11"/>
  <c r="F281" i="11"/>
  <c r="G281" i="11"/>
  <c r="H281" i="11"/>
  <c r="I281" i="11"/>
  <c r="J281" i="11"/>
  <c r="F280" i="11"/>
  <c r="G280" i="11"/>
  <c r="H280" i="11"/>
  <c r="I280" i="11"/>
  <c r="J280" i="11"/>
  <c r="F277" i="11"/>
  <c r="G277" i="11"/>
  <c r="H277" i="11"/>
  <c r="I277" i="11"/>
  <c r="J277" i="11"/>
  <c r="F693" i="11"/>
  <c r="G693" i="11"/>
  <c r="H693" i="11"/>
  <c r="I693" i="11"/>
  <c r="J693" i="11"/>
  <c r="K694" i="11" l="1"/>
  <c r="K280" i="11"/>
  <c r="K282" i="11"/>
  <c r="K693" i="11"/>
  <c r="K277" i="11"/>
  <c r="K281" i="11"/>
  <c r="K283" i="11"/>
  <c r="K285" i="11"/>
  <c r="K284" i="11"/>
  <c r="E709" i="11"/>
  <c r="E708" i="11" s="1"/>
  <c r="F708" i="11"/>
  <c r="G708" i="11"/>
  <c r="H708" i="11"/>
  <c r="I708" i="11"/>
  <c r="J708" i="11"/>
  <c r="F705" i="11"/>
  <c r="G705" i="11"/>
  <c r="H705" i="11"/>
  <c r="I705" i="11"/>
  <c r="J705" i="11"/>
  <c r="K708" i="11" l="1"/>
  <c r="K705" i="11"/>
  <c r="E706" i="11"/>
  <c r="E707" i="11"/>
  <c r="E705" i="11" l="1"/>
  <c r="F336" i="11"/>
  <c r="G336" i="11"/>
  <c r="H336" i="11"/>
  <c r="I336" i="11"/>
  <c r="J336" i="11"/>
  <c r="K336" i="11" l="1"/>
  <c r="F762" i="11"/>
  <c r="G762" i="11"/>
  <c r="H762" i="11"/>
  <c r="I762" i="11"/>
  <c r="J762" i="11"/>
  <c r="F761" i="11"/>
  <c r="G761" i="11"/>
  <c r="H761" i="11"/>
  <c r="I761" i="11"/>
  <c r="J761" i="11"/>
  <c r="F759" i="11"/>
  <c r="G759" i="11"/>
  <c r="H759" i="11"/>
  <c r="I759" i="11"/>
  <c r="J759" i="11"/>
  <c r="F758" i="11"/>
  <c r="G758" i="11"/>
  <c r="H758" i="11"/>
  <c r="I758" i="11"/>
  <c r="J758" i="11"/>
  <c r="F757" i="11"/>
  <c r="G757" i="11"/>
  <c r="H757" i="11"/>
  <c r="I757" i="11"/>
  <c r="J757" i="11"/>
  <c r="F802" i="11"/>
  <c r="G802" i="11"/>
  <c r="H802" i="11"/>
  <c r="I802" i="11"/>
  <c r="J802" i="11"/>
  <c r="E804" i="11"/>
  <c r="E805" i="11"/>
  <c r="F777" i="11"/>
  <c r="G777" i="11"/>
  <c r="H777" i="11"/>
  <c r="I777" i="11"/>
  <c r="J777" i="11"/>
  <c r="E780" i="11"/>
  <c r="K802" i="11" l="1"/>
  <c r="K777" i="11"/>
  <c r="K757" i="11"/>
  <c r="K759" i="11"/>
  <c r="K762" i="11"/>
  <c r="K758" i="11"/>
  <c r="K761" i="11"/>
  <c r="E607" i="11"/>
  <c r="F684" i="11"/>
  <c r="G684" i="11"/>
  <c r="H684" i="11"/>
  <c r="I684" i="11"/>
  <c r="J684" i="11"/>
  <c r="F756" i="11"/>
  <c r="F755" i="11" s="1"/>
  <c r="G756" i="11"/>
  <c r="G755" i="11" s="1"/>
  <c r="H756" i="11"/>
  <c r="H755" i="11" s="1"/>
  <c r="I756" i="11"/>
  <c r="I755" i="11" s="1"/>
  <c r="J756" i="11"/>
  <c r="J755" i="11" s="1"/>
  <c r="F984" i="11"/>
  <c r="F774" i="11"/>
  <c r="G774" i="11"/>
  <c r="H774" i="11"/>
  <c r="I774" i="11"/>
  <c r="J774" i="11"/>
  <c r="F770" i="11"/>
  <c r="G770" i="11"/>
  <c r="H770" i="11"/>
  <c r="I770" i="11"/>
  <c r="J770" i="11"/>
  <c r="K770" i="11" l="1"/>
  <c r="K755" i="11"/>
  <c r="K756" i="11"/>
  <c r="K774" i="11"/>
  <c r="K684" i="11"/>
  <c r="K596" i="11"/>
  <c r="F786" i="11"/>
  <c r="G786" i="11"/>
  <c r="H786" i="11"/>
  <c r="I786" i="11"/>
  <c r="F810" i="11"/>
  <c r="G810" i="11"/>
  <c r="H810" i="11"/>
  <c r="I810" i="11"/>
  <c r="J810" i="11"/>
  <c r="F813" i="11"/>
  <c r="G813" i="11"/>
  <c r="H813" i="11"/>
  <c r="I813" i="11"/>
  <c r="E776" i="11"/>
  <c r="E773" i="11"/>
  <c r="K810" i="11" l="1"/>
  <c r="K813" i="11"/>
  <c r="K786" i="11"/>
  <c r="F454" i="11"/>
  <c r="G454" i="11"/>
  <c r="H454" i="11"/>
  <c r="I454" i="11"/>
  <c r="J454" i="11"/>
  <c r="F498" i="11"/>
  <c r="F493" i="11"/>
  <c r="G493" i="11"/>
  <c r="H493" i="11"/>
  <c r="I493" i="11"/>
  <c r="J493" i="11"/>
  <c r="F468" i="11"/>
  <c r="G468" i="11"/>
  <c r="H468" i="11"/>
  <c r="I468" i="11"/>
  <c r="J468" i="11"/>
  <c r="F475" i="11"/>
  <c r="G475" i="11"/>
  <c r="H475" i="11"/>
  <c r="I475" i="11"/>
  <c r="J475" i="11"/>
  <c r="G506" i="11"/>
  <c r="H506" i="11"/>
  <c r="I506" i="11"/>
  <c r="J506" i="11"/>
  <c r="F682" i="11"/>
  <c r="G682" i="11"/>
  <c r="H682" i="11"/>
  <c r="I682" i="11"/>
  <c r="J682" i="11"/>
  <c r="E683" i="11"/>
  <c r="E682" i="11" s="1"/>
  <c r="F680" i="11"/>
  <c r="G680" i="11"/>
  <c r="H680" i="11"/>
  <c r="I680" i="11"/>
  <c r="J680" i="11"/>
  <c r="E681" i="11"/>
  <c r="E680" i="11" s="1"/>
  <c r="E674" i="11"/>
  <c r="F1040" i="11"/>
  <c r="E1107" i="11"/>
  <c r="E1108" i="11"/>
  <c r="E1106" i="11"/>
  <c r="F1105" i="11"/>
  <c r="F860" i="11"/>
  <c r="F834" i="11"/>
  <c r="G834" i="11"/>
  <c r="H834" i="11"/>
  <c r="I834" i="11"/>
  <c r="J834" i="11"/>
  <c r="F832" i="11"/>
  <c r="G832" i="11"/>
  <c r="H832" i="11"/>
  <c r="I832" i="11"/>
  <c r="F831" i="11"/>
  <c r="G831" i="11"/>
  <c r="H831" i="11"/>
  <c r="I831" i="11"/>
  <c r="J831" i="11"/>
  <c r="F879" i="11"/>
  <c r="K834" i="11" l="1"/>
  <c r="K506" i="11"/>
  <c r="K468" i="11"/>
  <c r="K454" i="11"/>
  <c r="K831" i="11"/>
  <c r="F861" i="11"/>
  <c r="K860" i="11"/>
  <c r="K680" i="11"/>
  <c r="K682" i="11"/>
  <c r="K475" i="11"/>
  <c r="K493" i="11"/>
  <c r="E1105" i="11"/>
  <c r="F359" i="11"/>
  <c r="G359" i="11"/>
  <c r="H359" i="11"/>
  <c r="I359" i="11"/>
  <c r="J359" i="11"/>
  <c r="F862" i="11" l="1"/>
  <c r="K861" i="11"/>
  <c r="K359" i="11"/>
  <c r="F290" i="11"/>
  <c r="G290" i="11"/>
  <c r="H290" i="11"/>
  <c r="I290" i="11"/>
  <c r="J290" i="11"/>
  <c r="K290" i="11" l="1"/>
  <c r="F863" i="11"/>
  <c r="E863" i="11" s="1"/>
  <c r="E840" i="11" s="1"/>
  <c r="K862" i="11"/>
  <c r="F1201" i="11"/>
  <c r="E1200" i="11"/>
  <c r="E1199" i="11"/>
  <c r="E1198" i="11"/>
  <c r="E1197" i="11"/>
  <c r="J1194" i="11"/>
  <c r="J1182" i="11" s="1"/>
  <c r="I1194" i="11"/>
  <c r="I1182" i="11" s="1"/>
  <c r="H1194" i="11"/>
  <c r="H1182" i="11" s="1"/>
  <c r="G1194" i="11"/>
  <c r="G1182" i="11" s="1"/>
  <c r="E1193" i="11"/>
  <c r="E1181" i="11" s="1"/>
  <c r="J1192" i="11"/>
  <c r="I1192" i="11"/>
  <c r="H1192" i="11"/>
  <c r="G1192" i="11"/>
  <c r="F1192" i="11"/>
  <c r="E1192" i="11"/>
  <c r="J1191" i="11"/>
  <c r="I1191" i="11"/>
  <c r="H1191" i="11"/>
  <c r="G1191" i="11"/>
  <c r="J1190" i="11"/>
  <c r="I1190" i="11"/>
  <c r="H1190" i="11"/>
  <c r="G1190" i="11"/>
  <c r="J1189" i="11"/>
  <c r="I1189" i="11"/>
  <c r="H1189" i="11"/>
  <c r="G1189" i="11"/>
  <c r="J1188" i="11"/>
  <c r="I1188" i="11"/>
  <c r="H1188" i="11"/>
  <c r="G1188" i="11"/>
  <c r="J1187" i="11"/>
  <c r="I1187" i="11"/>
  <c r="H1187" i="11"/>
  <c r="G1187" i="11"/>
  <c r="F1187" i="11"/>
  <c r="J1186" i="11"/>
  <c r="I1186" i="11"/>
  <c r="H1186" i="11"/>
  <c r="G1186" i="11"/>
  <c r="F1186" i="11"/>
  <c r="J1185" i="11"/>
  <c r="I1185" i="11"/>
  <c r="H1185" i="11"/>
  <c r="G1185" i="11"/>
  <c r="F1185" i="11"/>
  <c r="J1184" i="11"/>
  <c r="I1184" i="11"/>
  <c r="H1184" i="11"/>
  <c r="G1184" i="11"/>
  <c r="F1184" i="11"/>
  <c r="J1183" i="11"/>
  <c r="I1183" i="11"/>
  <c r="H1183" i="11"/>
  <c r="G1183" i="11"/>
  <c r="F1183" i="11"/>
  <c r="F1182" i="11"/>
  <c r="E1179" i="11"/>
  <c r="J1178" i="11"/>
  <c r="I1178" i="11"/>
  <c r="H1178" i="11"/>
  <c r="G1178" i="11"/>
  <c r="F1178" i="11"/>
  <c r="E1176" i="11"/>
  <c r="E1175" i="11"/>
  <c r="E1174" i="11"/>
  <c r="E1173" i="11"/>
  <c r="E1172" i="11"/>
  <c r="E1171" i="11"/>
  <c r="E1170" i="11"/>
  <c r="E1169" i="11"/>
  <c r="E1168" i="11"/>
  <c r="E1167" i="11"/>
  <c r="E1166" i="11"/>
  <c r="J1165" i="11"/>
  <c r="I1165" i="11"/>
  <c r="H1165" i="11"/>
  <c r="G1165" i="11"/>
  <c r="F1165" i="11"/>
  <c r="J1164" i="11"/>
  <c r="I1164" i="11"/>
  <c r="H1164" i="11"/>
  <c r="G1164" i="11"/>
  <c r="F1164" i="11"/>
  <c r="J1163" i="11"/>
  <c r="I1163" i="11"/>
  <c r="H1163" i="11"/>
  <c r="G1163" i="11"/>
  <c r="F1163" i="11"/>
  <c r="J1162" i="11"/>
  <c r="I1162" i="11"/>
  <c r="H1162" i="11"/>
  <c r="G1162" i="11"/>
  <c r="F1162" i="11"/>
  <c r="J1161" i="11"/>
  <c r="I1161" i="11"/>
  <c r="H1161" i="11"/>
  <c r="G1161" i="11"/>
  <c r="F1161" i="11"/>
  <c r="J1160" i="11"/>
  <c r="I1160" i="11"/>
  <c r="H1160" i="11"/>
  <c r="G1160" i="11"/>
  <c r="F1160" i="11"/>
  <c r="J1159" i="11"/>
  <c r="I1159" i="11"/>
  <c r="H1159" i="11"/>
  <c r="G1159" i="11"/>
  <c r="F1159" i="11"/>
  <c r="J1158" i="11"/>
  <c r="I1158" i="11"/>
  <c r="H1158" i="11"/>
  <c r="G1158" i="11"/>
  <c r="F1158" i="11"/>
  <c r="J1157" i="11"/>
  <c r="I1157" i="11"/>
  <c r="H1157" i="11"/>
  <c r="G1157" i="11"/>
  <c r="F1157" i="11"/>
  <c r="J1156" i="11"/>
  <c r="I1156" i="11"/>
  <c r="H1156" i="11"/>
  <c r="G1156" i="11"/>
  <c r="F1156" i="11"/>
  <c r="J1155" i="11"/>
  <c r="I1155" i="11"/>
  <c r="H1155" i="11"/>
  <c r="G1155" i="11"/>
  <c r="F1155" i="11"/>
  <c r="J1154" i="11"/>
  <c r="I1154" i="11"/>
  <c r="H1154" i="11"/>
  <c r="G1154" i="11"/>
  <c r="F1154" i="11"/>
  <c r="E1151" i="11"/>
  <c r="E1150" i="11"/>
  <c r="E1149" i="11"/>
  <c r="E1148" i="11"/>
  <c r="E1147" i="11"/>
  <c r="E1139" i="11" s="1"/>
  <c r="E1138" i="11"/>
  <c r="E1145" i="11"/>
  <c r="E1137" i="11" s="1"/>
  <c r="E1144" i="11"/>
  <c r="F1143" i="11"/>
  <c r="K1143" i="11" s="1"/>
  <c r="F1142" i="11"/>
  <c r="K1142" i="11" s="1"/>
  <c r="F1141" i="11"/>
  <c r="K1141" i="11" s="1"/>
  <c r="F1140" i="11"/>
  <c r="K1140" i="11" s="1"/>
  <c r="J1139" i="11"/>
  <c r="I1139" i="11"/>
  <c r="H1139" i="11"/>
  <c r="G1139" i="11"/>
  <c r="F1139" i="11"/>
  <c r="J1138" i="11"/>
  <c r="I1138" i="11"/>
  <c r="H1138" i="11"/>
  <c r="G1138" i="11"/>
  <c r="F1138" i="11"/>
  <c r="J1137" i="11"/>
  <c r="I1137" i="11"/>
  <c r="H1137" i="11"/>
  <c r="G1137" i="11"/>
  <c r="F1137" i="11"/>
  <c r="J1136" i="11"/>
  <c r="I1136" i="11"/>
  <c r="H1136" i="11"/>
  <c r="G1136" i="11"/>
  <c r="F1136" i="11"/>
  <c r="E1134" i="11"/>
  <c r="E1133" i="11"/>
  <c r="E1132" i="11"/>
  <c r="E1131" i="11"/>
  <c r="E1130" i="11"/>
  <c r="E1129" i="11"/>
  <c r="E1128" i="11"/>
  <c r="E1127" i="11"/>
  <c r="J1126" i="11"/>
  <c r="J1117" i="11" s="1"/>
  <c r="I1126" i="11"/>
  <c r="I1117" i="11" s="1"/>
  <c r="H1126" i="11"/>
  <c r="H1117" i="11" s="1"/>
  <c r="G1126" i="11"/>
  <c r="G1117" i="11" s="1"/>
  <c r="F1126" i="11"/>
  <c r="J1125" i="11"/>
  <c r="J1116" i="11" s="1"/>
  <c r="I1125" i="11"/>
  <c r="I1116" i="11" s="1"/>
  <c r="H1125" i="11"/>
  <c r="H1116" i="11" s="1"/>
  <c r="G1125" i="11"/>
  <c r="F1125" i="11"/>
  <c r="J1124" i="11"/>
  <c r="J1115" i="11" s="1"/>
  <c r="I1124" i="11"/>
  <c r="I1115" i="11" s="1"/>
  <c r="H1124" i="11"/>
  <c r="H1115" i="11" s="1"/>
  <c r="G1124" i="11"/>
  <c r="G1115" i="11" s="1"/>
  <c r="F1124" i="11"/>
  <c r="J1123" i="11"/>
  <c r="J1114" i="11" s="1"/>
  <c r="I1123" i="11"/>
  <c r="I1114" i="11" s="1"/>
  <c r="H1123" i="11"/>
  <c r="H1114" i="11" s="1"/>
  <c r="G1123" i="11"/>
  <c r="F1123" i="11"/>
  <c r="J1121" i="11"/>
  <c r="J1112" i="11" s="1"/>
  <c r="I1121" i="11"/>
  <c r="I1112" i="11" s="1"/>
  <c r="H1121" i="11"/>
  <c r="H1112" i="11" s="1"/>
  <c r="G1121" i="11"/>
  <c r="J1120" i="11"/>
  <c r="I1120" i="11"/>
  <c r="I1111" i="11" s="1"/>
  <c r="H1120" i="11"/>
  <c r="G1120" i="11"/>
  <c r="G1111" i="11" s="1"/>
  <c r="J1119" i="11"/>
  <c r="J1110" i="11" s="1"/>
  <c r="I1119" i="11"/>
  <c r="I1110" i="11" s="1"/>
  <c r="H1119" i="11"/>
  <c r="H1110" i="11" s="1"/>
  <c r="G1119" i="11"/>
  <c r="F1110" i="11"/>
  <c r="E1104" i="11"/>
  <c r="J1103" i="11"/>
  <c r="I1103" i="11"/>
  <c r="H1103" i="11"/>
  <c r="G1103" i="11"/>
  <c r="F1103" i="11"/>
  <c r="E1103" i="11"/>
  <c r="E1102" i="11"/>
  <c r="J1101" i="11"/>
  <c r="I1101" i="11"/>
  <c r="H1101" i="11"/>
  <c r="G1101" i="11"/>
  <c r="F1101" i="11"/>
  <c r="E1101" i="11"/>
  <c r="E1100" i="11"/>
  <c r="J1099" i="11"/>
  <c r="I1099" i="11"/>
  <c r="H1099" i="11"/>
  <c r="G1099" i="11"/>
  <c r="F1099" i="11"/>
  <c r="E1099" i="11"/>
  <c r="E1098" i="11"/>
  <c r="E1097" i="11" s="1"/>
  <c r="J1097" i="11"/>
  <c r="I1097" i="11"/>
  <c r="H1097" i="11"/>
  <c r="G1097" i="11"/>
  <c r="F1097" i="11"/>
  <c r="E1096" i="11"/>
  <c r="E1095" i="11" s="1"/>
  <c r="J1095" i="11"/>
  <c r="I1095" i="11"/>
  <c r="H1095" i="11"/>
  <c r="G1095" i="11"/>
  <c r="F1095" i="11"/>
  <c r="E1094" i="11"/>
  <c r="E1093" i="11" s="1"/>
  <c r="J1093" i="11"/>
  <c r="I1093" i="11"/>
  <c r="H1093" i="11"/>
  <c r="G1093" i="11"/>
  <c r="F1093" i="11"/>
  <c r="E1092" i="11"/>
  <c r="E1091" i="11" s="1"/>
  <c r="J1091" i="11"/>
  <c r="I1091" i="11"/>
  <c r="H1091" i="11"/>
  <c r="G1091" i="11"/>
  <c r="F1091" i="11"/>
  <c r="E1090" i="11"/>
  <c r="E1089" i="11" s="1"/>
  <c r="J1089" i="11"/>
  <c r="I1089" i="11"/>
  <c r="H1089" i="11"/>
  <c r="G1089" i="11"/>
  <c r="F1089" i="11"/>
  <c r="E1088" i="11"/>
  <c r="E1087" i="11" s="1"/>
  <c r="J1087" i="11"/>
  <c r="I1087" i="11"/>
  <c r="H1087" i="11"/>
  <c r="G1087" i="11"/>
  <c r="F1087" i="11"/>
  <c r="F1086" i="11"/>
  <c r="K1086" i="11" s="1"/>
  <c r="J1085" i="11"/>
  <c r="I1085" i="11"/>
  <c r="H1085" i="11"/>
  <c r="G1085" i="11"/>
  <c r="F1085" i="11"/>
  <c r="J1084" i="11"/>
  <c r="J1037" i="11" s="1"/>
  <c r="I1084" i="11"/>
  <c r="H1084" i="11"/>
  <c r="H1037" i="11" s="1"/>
  <c r="G1084" i="11"/>
  <c r="G1037" i="11" s="1"/>
  <c r="F1084" i="11"/>
  <c r="J1083" i="11"/>
  <c r="J1036" i="11" s="1"/>
  <c r="I1083" i="11"/>
  <c r="I1036" i="11" s="1"/>
  <c r="H1083" i="11"/>
  <c r="H1036" i="11" s="1"/>
  <c r="G1083" i="11"/>
  <c r="G1036" i="11" s="1"/>
  <c r="F1083" i="11"/>
  <c r="F1036" i="11" s="1"/>
  <c r="J1082" i="11"/>
  <c r="J1035" i="11" s="1"/>
  <c r="I1082" i="11"/>
  <c r="I1035" i="11" s="1"/>
  <c r="H1082" i="11"/>
  <c r="H1035" i="11" s="1"/>
  <c r="G1082" i="11"/>
  <c r="G1035" i="11" s="1"/>
  <c r="F1082" i="11"/>
  <c r="I1081" i="11"/>
  <c r="E1080" i="11"/>
  <c r="J1079" i="11"/>
  <c r="I1079" i="11"/>
  <c r="H1079" i="11"/>
  <c r="G1079" i="11"/>
  <c r="F1079" i="11"/>
  <c r="E1078" i="11"/>
  <c r="E1068" i="11" s="1"/>
  <c r="J1077" i="11"/>
  <c r="I1077" i="11"/>
  <c r="H1077" i="11"/>
  <c r="G1077" i="11"/>
  <c r="F1077" i="11"/>
  <c r="E1077" i="11"/>
  <c r="E1076" i="11"/>
  <c r="E1075" i="11" s="1"/>
  <c r="J1075" i="11"/>
  <c r="I1075" i="11"/>
  <c r="H1075" i="11"/>
  <c r="G1075" i="11"/>
  <c r="F1075" i="11"/>
  <c r="E1074" i="11"/>
  <c r="E1070" i="11" s="1"/>
  <c r="J1073" i="11"/>
  <c r="I1073" i="11"/>
  <c r="H1073" i="11"/>
  <c r="G1073" i="11"/>
  <c r="F1073" i="11"/>
  <c r="E1073" i="11"/>
  <c r="E1072" i="11"/>
  <c r="E1071" i="11" s="1"/>
  <c r="J1071" i="11"/>
  <c r="I1071" i="11"/>
  <c r="H1071" i="11"/>
  <c r="G1071" i="11"/>
  <c r="F1071" i="11"/>
  <c r="J1070" i="11"/>
  <c r="J1044" i="11" s="1"/>
  <c r="I1070" i="11"/>
  <c r="I1044" i="11" s="1"/>
  <c r="H1070" i="11"/>
  <c r="H1044" i="11" s="1"/>
  <c r="G1070" i="11"/>
  <c r="G1044" i="11" s="1"/>
  <c r="F1070" i="11"/>
  <c r="J1069" i="11"/>
  <c r="I1069" i="11"/>
  <c r="H1069" i="11"/>
  <c r="G1069" i="11"/>
  <c r="F1069" i="11"/>
  <c r="J1068" i="11"/>
  <c r="I1068" i="11"/>
  <c r="H1068" i="11"/>
  <c r="G1068" i="11"/>
  <c r="F1068" i="11"/>
  <c r="J1067" i="11"/>
  <c r="J1041" i="11" s="1"/>
  <c r="I1067" i="11"/>
  <c r="I1041" i="11" s="1"/>
  <c r="H1067" i="11"/>
  <c r="G1067" i="11"/>
  <c r="G1041" i="11" s="1"/>
  <c r="F1067" i="11"/>
  <c r="J1061" i="11"/>
  <c r="J1062" i="11" s="1"/>
  <c r="I1061" i="11"/>
  <c r="I1062" i="11" s="1"/>
  <c r="H1061" i="11"/>
  <c r="H1062" i="11" s="1"/>
  <c r="G1061" i="11"/>
  <c r="G1062" i="11" s="1"/>
  <c r="F1061" i="11"/>
  <c r="E1060" i="11"/>
  <c r="E1040" i="11" s="1"/>
  <c r="E1059" i="11"/>
  <c r="E1058" i="11"/>
  <c r="E1057" i="11"/>
  <c r="E1056" i="11"/>
  <c r="E1055" i="11"/>
  <c r="E1054" i="11"/>
  <c r="E1034" i="11" s="1"/>
  <c r="E1052" i="11"/>
  <c r="E1051" i="11"/>
  <c r="E1048" i="11" s="1"/>
  <c r="E1050" i="11"/>
  <c r="E1047" i="11" s="1"/>
  <c r="J1049" i="11"/>
  <c r="I1049" i="11"/>
  <c r="H1049" i="11"/>
  <c r="G1049" i="11"/>
  <c r="F1049" i="11"/>
  <c r="E1049" i="11"/>
  <c r="J1048" i="11"/>
  <c r="I1048" i="11"/>
  <c r="H1048" i="11"/>
  <c r="G1048" i="11"/>
  <c r="F1048" i="11"/>
  <c r="F1047" i="11"/>
  <c r="K1047" i="11" s="1"/>
  <c r="I1037" i="11"/>
  <c r="J1034" i="11"/>
  <c r="I1034" i="11"/>
  <c r="H1034" i="11"/>
  <c r="G1034" i="11"/>
  <c r="F1034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J1020" i="11"/>
  <c r="I1020" i="11"/>
  <c r="H1020" i="11"/>
  <c r="G1020" i="11"/>
  <c r="F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J1008" i="11"/>
  <c r="I1008" i="11"/>
  <c r="H1008" i="11"/>
  <c r="G1008" i="11"/>
  <c r="F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J995" i="11"/>
  <c r="I995" i="11"/>
  <c r="H995" i="11"/>
  <c r="G995" i="11"/>
  <c r="F995" i="11"/>
  <c r="J994" i="11"/>
  <c r="I994" i="11"/>
  <c r="H994" i="11"/>
  <c r="G994" i="11"/>
  <c r="F994" i="11"/>
  <c r="J993" i="11"/>
  <c r="I993" i="11"/>
  <c r="H993" i="11"/>
  <c r="G993" i="11"/>
  <c r="F993" i="11"/>
  <c r="J992" i="11"/>
  <c r="I992" i="11"/>
  <c r="H992" i="11"/>
  <c r="G992" i="11"/>
  <c r="F992" i="11"/>
  <c r="J991" i="11"/>
  <c r="I991" i="11"/>
  <c r="H991" i="11"/>
  <c r="G991" i="11"/>
  <c r="F991" i="11"/>
  <c r="J990" i="11"/>
  <c r="I990" i="11"/>
  <c r="H990" i="11"/>
  <c r="G990" i="11"/>
  <c r="F990" i="11"/>
  <c r="J989" i="11"/>
  <c r="I989" i="11"/>
  <c r="H989" i="11"/>
  <c r="G989" i="11"/>
  <c r="F989" i="11"/>
  <c r="J988" i="11"/>
  <c r="I988" i="11"/>
  <c r="H988" i="11"/>
  <c r="G988" i="11"/>
  <c r="F988" i="11"/>
  <c r="J987" i="11"/>
  <c r="I987" i="11"/>
  <c r="H987" i="11"/>
  <c r="G987" i="11"/>
  <c r="F987" i="11"/>
  <c r="J986" i="11"/>
  <c r="I986" i="11"/>
  <c r="H986" i="11"/>
  <c r="G986" i="11"/>
  <c r="F986" i="11"/>
  <c r="J985" i="11"/>
  <c r="I985" i="11"/>
  <c r="H985" i="11"/>
  <c r="G985" i="11"/>
  <c r="F985" i="11"/>
  <c r="J984" i="11"/>
  <c r="I984" i="11"/>
  <c r="H984" i="11"/>
  <c r="G984" i="11"/>
  <c r="J983" i="11"/>
  <c r="I983" i="11"/>
  <c r="H983" i="11"/>
  <c r="G983" i="11"/>
  <c r="J969" i="11"/>
  <c r="I969" i="11"/>
  <c r="I956" i="11" s="1"/>
  <c r="H969" i="11"/>
  <c r="H956" i="11" s="1"/>
  <c r="G969" i="11"/>
  <c r="F969" i="11"/>
  <c r="E969" i="11"/>
  <c r="E956" i="11" s="1"/>
  <c r="J968" i="11"/>
  <c r="I968" i="11"/>
  <c r="H968" i="11"/>
  <c r="G968" i="11"/>
  <c r="F968" i="11"/>
  <c r="E968" i="11"/>
  <c r="J967" i="11"/>
  <c r="I967" i="11"/>
  <c r="H967" i="11"/>
  <c r="G967" i="11"/>
  <c r="F967" i="11"/>
  <c r="E967" i="11"/>
  <c r="J966" i="11"/>
  <c r="I966" i="11"/>
  <c r="H966" i="11"/>
  <c r="G966" i="11"/>
  <c r="F966" i="11"/>
  <c r="E966" i="11"/>
  <c r="J965" i="11"/>
  <c r="I965" i="11"/>
  <c r="H965" i="11"/>
  <c r="G965" i="11"/>
  <c r="F965" i="11"/>
  <c r="E965" i="11"/>
  <c r="J964" i="11"/>
  <c r="I964" i="11"/>
  <c r="H964" i="11"/>
  <c r="G964" i="11"/>
  <c r="F964" i="11"/>
  <c r="E964" i="11"/>
  <c r="J963" i="11"/>
  <c r="I963" i="11"/>
  <c r="H963" i="11"/>
  <c r="G963" i="11"/>
  <c r="F963" i="11"/>
  <c r="E963" i="11"/>
  <c r="J962" i="11"/>
  <c r="I962" i="11"/>
  <c r="H962" i="11"/>
  <c r="G962" i="11"/>
  <c r="F962" i="11"/>
  <c r="E962" i="11"/>
  <c r="J961" i="11"/>
  <c r="I961" i="11"/>
  <c r="H961" i="11"/>
  <c r="G961" i="11"/>
  <c r="F961" i="11"/>
  <c r="E961" i="11"/>
  <c r="J960" i="11"/>
  <c r="I960" i="11"/>
  <c r="H960" i="11"/>
  <c r="G960" i="11"/>
  <c r="F960" i="11"/>
  <c r="E960" i="11"/>
  <c r="J959" i="11"/>
  <c r="I959" i="11"/>
  <c r="H959" i="11"/>
  <c r="G959" i="11"/>
  <c r="F959" i="11"/>
  <c r="E959" i="11"/>
  <c r="J958" i="11"/>
  <c r="I958" i="11"/>
  <c r="H958" i="11"/>
  <c r="G958" i="11"/>
  <c r="F958" i="11"/>
  <c r="E958" i="11"/>
  <c r="J957" i="11"/>
  <c r="I957" i="11"/>
  <c r="H957" i="11"/>
  <c r="G957" i="11"/>
  <c r="F957" i="11"/>
  <c r="E957" i="11"/>
  <c r="J956" i="11"/>
  <c r="E955" i="11"/>
  <c r="E942" i="11" s="1"/>
  <c r="E954" i="11"/>
  <c r="E941" i="11" s="1"/>
  <c r="E953" i="11"/>
  <c r="E952" i="11"/>
  <c r="E951" i="11"/>
  <c r="E938" i="11" s="1"/>
  <c r="E950" i="11"/>
  <c r="E937" i="11" s="1"/>
  <c r="E949" i="11"/>
  <c r="E936" i="11" s="1"/>
  <c r="E948" i="11"/>
  <c r="E935" i="11" s="1"/>
  <c r="E947" i="11"/>
  <c r="E934" i="11" s="1"/>
  <c r="E946" i="11"/>
  <c r="E933" i="11" s="1"/>
  <c r="E945" i="11"/>
  <c r="E932" i="11" s="1"/>
  <c r="E944" i="11"/>
  <c r="E931" i="11" s="1"/>
  <c r="J943" i="11"/>
  <c r="J930" i="11" s="1"/>
  <c r="I943" i="11"/>
  <c r="I930" i="11" s="1"/>
  <c r="H943" i="11"/>
  <c r="H930" i="11" s="1"/>
  <c r="G943" i="11"/>
  <c r="F943" i="11"/>
  <c r="J942" i="11"/>
  <c r="I942" i="11"/>
  <c r="H942" i="11"/>
  <c r="G942" i="11"/>
  <c r="F942" i="11"/>
  <c r="J941" i="11"/>
  <c r="I941" i="11"/>
  <c r="H941" i="11"/>
  <c r="G941" i="11"/>
  <c r="F941" i="11"/>
  <c r="J940" i="11"/>
  <c r="I940" i="11"/>
  <c r="H940" i="11"/>
  <c r="G940" i="11"/>
  <c r="F940" i="11"/>
  <c r="J939" i="11"/>
  <c r="I939" i="11"/>
  <c r="H939" i="11"/>
  <c r="G939" i="11"/>
  <c r="F939" i="11"/>
  <c r="E939" i="11"/>
  <c r="J938" i="11"/>
  <c r="I938" i="11"/>
  <c r="H938" i="11"/>
  <c r="G938" i="11"/>
  <c r="F938" i="11"/>
  <c r="J937" i="11"/>
  <c r="I937" i="11"/>
  <c r="H937" i="11"/>
  <c r="G937" i="11"/>
  <c r="F937" i="11"/>
  <c r="J936" i="11"/>
  <c r="I936" i="11"/>
  <c r="H936" i="11"/>
  <c r="G936" i="11"/>
  <c r="F936" i="11"/>
  <c r="J935" i="11"/>
  <c r="I935" i="11"/>
  <c r="H935" i="11"/>
  <c r="G935" i="11"/>
  <c r="F935" i="11"/>
  <c r="J934" i="11"/>
  <c r="I934" i="11"/>
  <c r="H934" i="11"/>
  <c r="G934" i="11"/>
  <c r="F934" i="11"/>
  <c r="J933" i="11"/>
  <c r="I933" i="11"/>
  <c r="H933" i="11"/>
  <c r="G933" i="11"/>
  <c r="F933" i="11"/>
  <c r="F819" i="11" s="1"/>
  <c r="J932" i="11"/>
  <c r="I932" i="11"/>
  <c r="H932" i="11"/>
  <c r="G932" i="11"/>
  <c r="F932" i="11"/>
  <c r="F818" i="11" s="1"/>
  <c r="J931" i="11"/>
  <c r="I931" i="11"/>
  <c r="H931" i="11"/>
  <c r="G931" i="11"/>
  <c r="F931" i="11"/>
  <c r="E929" i="11"/>
  <c r="E916" i="11" s="1"/>
  <c r="E928" i="11"/>
  <c r="E915" i="11" s="1"/>
  <c r="E927" i="11"/>
  <c r="E914" i="11" s="1"/>
  <c r="E926" i="11"/>
  <c r="E913" i="11" s="1"/>
  <c r="E925" i="11"/>
  <c r="E912" i="11" s="1"/>
  <c r="E924" i="11"/>
  <c r="E911" i="11" s="1"/>
  <c r="E923" i="11"/>
  <c r="E910" i="11" s="1"/>
  <c r="E922" i="11"/>
  <c r="E909" i="11" s="1"/>
  <c r="E921" i="11"/>
  <c r="E908" i="11" s="1"/>
  <c r="E920" i="11"/>
  <c r="E907" i="11" s="1"/>
  <c r="E919" i="11"/>
  <c r="E918" i="11"/>
  <c r="E905" i="11" s="1"/>
  <c r="J917" i="11"/>
  <c r="J904" i="11" s="1"/>
  <c r="I917" i="11"/>
  <c r="I904" i="11" s="1"/>
  <c r="H917" i="11"/>
  <c r="H904" i="11" s="1"/>
  <c r="G917" i="11"/>
  <c r="G904" i="11" s="1"/>
  <c r="F917" i="11"/>
  <c r="J916" i="11"/>
  <c r="I916" i="11"/>
  <c r="H916" i="11"/>
  <c r="G916" i="11"/>
  <c r="J915" i="11"/>
  <c r="I915" i="11"/>
  <c r="H915" i="11"/>
  <c r="G915" i="11"/>
  <c r="J914" i="11"/>
  <c r="I914" i="11"/>
  <c r="H914" i="11"/>
  <c r="G914" i="11"/>
  <c r="J913" i="11"/>
  <c r="I913" i="11"/>
  <c r="H913" i="11"/>
  <c r="G913" i="11"/>
  <c r="J912" i="11"/>
  <c r="I912" i="11"/>
  <c r="H912" i="11"/>
  <c r="G912" i="11"/>
  <c r="J911" i="11"/>
  <c r="I911" i="11"/>
  <c r="H911" i="11"/>
  <c r="G911" i="11"/>
  <c r="J910" i="11"/>
  <c r="I910" i="11"/>
  <c r="H910" i="11"/>
  <c r="G910" i="11"/>
  <c r="J909" i="11"/>
  <c r="I909" i="11"/>
  <c r="H909" i="11"/>
  <c r="G909" i="11"/>
  <c r="J908" i="11"/>
  <c r="I908" i="11"/>
  <c r="H908" i="11"/>
  <c r="G908" i="11"/>
  <c r="J907" i="11"/>
  <c r="I907" i="11"/>
  <c r="H907" i="11"/>
  <c r="G907" i="11"/>
  <c r="J906" i="11"/>
  <c r="I906" i="11"/>
  <c r="H906" i="11"/>
  <c r="G906" i="11"/>
  <c r="J905" i="11"/>
  <c r="I905" i="11"/>
  <c r="H905" i="11"/>
  <c r="G905" i="11"/>
  <c r="F905" i="11"/>
  <c r="E903" i="11"/>
  <c r="E890" i="11" s="1"/>
  <c r="E902" i="11"/>
  <c r="E889" i="11" s="1"/>
  <c r="E901" i="11"/>
  <c r="E888" i="11" s="1"/>
  <c r="E900" i="11"/>
  <c r="E887" i="11" s="1"/>
  <c r="E899" i="11"/>
  <c r="E886" i="11" s="1"/>
  <c r="E898" i="11"/>
  <c r="E885" i="11" s="1"/>
  <c r="E897" i="11"/>
  <c r="E884" i="11" s="1"/>
  <c r="E896" i="11"/>
  <c r="E883" i="11" s="1"/>
  <c r="E895" i="11"/>
  <c r="E882" i="11" s="1"/>
  <c r="E894" i="11"/>
  <c r="E881" i="11" s="1"/>
  <c r="E893" i="11"/>
  <c r="E880" i="11" s="1"/>
  <c r="E892" i="11"/>
  <c r="J891" i="11"/>
  <c r="J878" i="11" s="1"/>
  <c r="I891" i="11"/>
  <c r="H891" i="11"/>
  <c r="H878" i="11" s="1"/>
  <c r="G891" i="11"/>
  <c r="G878" i="11" s="1"/>
  <c r="F891" i="11"/>
  <c r="J890" i="11"/>
  <c r="I890" i="11"/>
  <c r="H890" i="11"/>
  <c r="G890" i="11"/>
  <c r="J889" i="11"/>
  <c r="I889" i="11"/>
  <c r="H889" i="11"/>
  <c r="G889" i="11"/>
  <c r="J888" i="11"/>
  <c r="I888" i="11"/>
  <c r="H888" i="11"/>
  <c r="G888" i="11"/>
  <c r="J887" i="11"/>
  <c r="I887" i="11"/>
  <c r="H887" i="11"/>
  <c r="G887" i="11"/>
  <c r="J886" i="11"/>
  <c r="I886" i="11"/>
  <c r="H886" i="11"/>
  <c r="G886" i="11"/>
  <c r="J885" i="11"/>
  <c r="I885" i="11"/>
  <c r="H885" i="11"/>
  <c r="G885" i="11"/>
  <c r="J884" i="11"/>
  <c r="I884" i="11"/>
  <c r="H884" i="11"/>
  <c r="G884" i="11"/>
  <c r="J883" i="11"/>
  <c r="J821" i="11" s="1"/>
  <c r="I883" i="11"/>
  <c r="H883" i="11"/>
  <c r="H821" i="11" s="1"/>
  <c r="G883" i="11"/>
  <c r="J882" i="11"/>
  <c r="I882" i="11"/>
  <c r="H882" i="11"/>
  <c r="G882" i="11"/>
  <c r="J881" i="11"/>
  <c r="I881" i="11"/>
  <c r="I819" i="11" s="1"/>
  <c r="H881" i="11"/>
  <c r="H819" i="11" s="1"/>
  <c r="G881" i="11"/>
  <c r="G819" i="11" s="1"/>
  <c r="J880" i="11"/>
  <c r="I880" i="11"/>
  <c r="H880" i="11"/>
  <c r="G880" i="11"/>
  <c r="J879" i="11"/>
  <c r="I879" i="11"/>
  <c r="H879" i="11"/>
  <c r="G879" i="11"/>
  <c r="I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J865" i="11"/>
  <c r="I865" i="11"/>
  <c r="H865" i="11"/>
  <c r="G865" i="11"/>
  <c r="F865" i="11"/>
  <c r="E862" i="11"/>
  <c r="E839" i="11" s="1"/>
  <c r="E861" i="11"/>
  <c r="E838" i="11" s="1"/>
  <c r="E860" i="11"/>
  <c r="E837" i="11" s="1"/>
  <c r="E859" i="11"/>
  <c r="E836" i="11" s="1"/>
  <c r="E858" i="11"/>
  <c r="E835" i="11" s="1"/>
  <c r="E857" i="11"/>
  <c r="E856" i="11"/>
  <c r="E855" i="11"/>
  <c r="E854" i="11"/>
  <c r="E853" i="11"/>
  <c r="J852" i="11"/>
  <c r="I852" i="11"/>
  <c r="H852" i="11"/>
  <c r="G852" i="11"/>
  <c r="E851" i="11"/>
  <c r="E850" i="11"/>
  <c r="E849" i="11"/>
  <c r="E848" i="11" s="1"/>
  <c r="J848" i="11"/>
  <c r="I848" i="11"/>
  <c r="H848" i="11"/>
  <c r="G848" i="11"/>
  <c r="F848" i="11"/>
  <c r="E847" i="11"/>
  <c r="E846" i="11"/>
  <c r="E845" i="11"/>
  <c r="E844" i="11"/>
  <c r="E843" i="11"/>
  <c r="J842" i="11"/>
  <c r="I842" i="11"/>
  <c r="H842" i="11"/>
  <c r="G842" i="11"/>
  <c r="F842" i="11"/>
  <c r="J841" i="11"/>
  <c r="I841" i="11"/>
  <c r="H841" i="11"/>
  <c r="G841" i="11"/>
  <c r="J840" i="11"/>
  <c r="I840" i="11"/>
  <c r="H840" i="11"/>
  <c r="G840" i="11"/>
  <c r="J839" i="11"/>
  <c r="I839" i="11"/>
  <c r="H839" i="11"/>
  <c r="G839" i="11"/>
  <c r="F839" i="11"/>
  <c r="J838" i="11"/>
  <c r="I838" i="11"/>
  <c r="H838" i="11"/>
  <c r="G838" i="11"/>
  <c r="F838" i="11"/>
  <c r="J837" i="11"/>
  <c r="I837" i="11"/>
  <c r="H837" i="11"/>
  <c r="G837" i="11"/>
  <c r="F837" i="11"/>
  <c r="J836" i="11"/>
  <c r="I836" i="11"/>
  <c r="H836" i="11"/>
  <c r="G836" i="11"/>
  <c r="F836" i="11"/>
  <c r="J835" i="11"/>
  <c r="I835" i="11"/>
  <c r="H835" i="11"/>
  <c r="G835" i="11"/>
  <c r="F835" i="11"/>
  <c r="J833" i="11"/>
  <c r="I833" i="11"/>
  <c r="H833" i="11"/>
  <c r="G833" i="11"/>
  <c r="F833" i="11"/>
  <c r="J832" i="11"/>
  <c r="K832" i="11" s="1"/>
  <c r="J830" i="11"/>
  <c r="I830" i="11"/>
  <c r="H830" i="11"/>
  <c r="G830" i="11"/>
  <c r="F830" i="11"/>
  <c r="F821" i="11"/>
  <c r="E815" i="11"/>
  <c r="E814" i="11"/>
  <c r="E812" i="11"/>
  <c r="E811" i="11"/>
  <c r="E809" i="11"/>
  <c r="E808" i="11" s="1"/>
  <c r="I808" i="11"/>
  <c r="H808" i="11"/>
  <c r="G808" i="11"/>
  <c r="F808" i="11"/>
  <c r="E807" i="11"/>
  <c r="E806" i="11" s="1"/>
  <c r="I806" i="11"/>
  <c r="H806" i="11"/>
  <c r="G806" i="11"/>
  <c r="F806" i="11"/>
  <c r="E803" i="11"/>
  <c r="E802" i="11" s="1"/>
  <c r="E801" i="11"/>
  <c r="E800" i="11"/>
  <c r="E799" i="11"/>
  <c r="I798" i="11"/>
  <c r="H798" i="11"/>
  <c r="G798" i="11"/>
  <c r="F798" i="11"/>
  <c r="E797" i="11"/>
  <c r="E760" i="11" s="1"/>
  <c r="E796" i="11"/>
  <c r="E795" i="11"/>
  <c r="I794" i="11"/>
  <c r="H794" i="11"/>
  <c r="G794" i="11"/>
  <c r="F794" i="11"/>
  <c r="E793" i="11"/>
  <c r="E792" i="11" s="1"/>
  <c r="I792" i="11"/>
  <c r="H792" i="11"/>
  <c r="G792" i="11"/>
  <c r="F792" i="11"/>
  <c r="E791" i="11"/>
  <c r="E790" i="11"/>
  <c r="I789" i="11"/>
  <c r="H789" i="11"/>
  <c r="G789" i="11"/>
  <c r="F789" i="11"/>
  <c r="E788" i="11"/>
  <c r="E762" i="11" s="1"/>
  <c r="E787" i="11"/>
  <c r="E761" i="11" s="1"/>
  <c r="E785" i="11"/>
  <c r="E784" i="11" s="1"/>
  <c r="I784" i="11"/>
  <c r="H784" i="11"/>
  <c r="G784" i="11"/>
  <c r="F784" i="11"/>
  <c r="E783" i="11"/>
  <c r="E782" i="11"/>
  <c r="J781" i="11"/>
  <c r="I781" i="11"/>
  <c r="H781" i="11"/>
  <c r="G781" i="11"/>
  <c r="F781" i="11"/>
  <c r="E779" i="11"/>
  <c r="E778" i="11"/>
  <c r="E775" i="11"/>
  <c r="E774" i="11" s="1"/>
  <c r="E772" i="11"/>
  <c r="E771" i="11"/>
  <c r="E769" i="11"/>
  <c r="E768" i="11"/>
  <c r="E767" i="11"/>
  <c r="E766" i="11"/>
  <c r="E765" i="11"/>
  <c r="E764" i="11"/>
  <c r="J763" i="11"/>
  <c r="I763" i="11"/>
  <c r="H763" i="11"/>
  <c r="G763" i="11"/>
  <c r="F763" i="11"/>
  <c r="F749" i="11"/>
  <c r="F748" i="11"/>
  <c r="K748" i="11" s="1"/>
  <c r="F747" i="11"/>
  <c r="K747" i="11" s="1"/>
  <c r="K746" i="11"/>
  <c r="K745" i="11"/>
  <c r="K744" i="11"/>
  <c r="J743" i="11"/>
  <c r="I743" i="11"/>
  <c r="H743" i="11"/>
  <c r="G743" i="11"/>
  <c r="E742" i="11"/>
  <c r="E741" i="11"/>
  <c r="E740" i="11" s="1"/>
  <c r="J740" i="11"/>
  <c r="I740" i="11"/>
  <c r="H740" i="11"/>
  <c r="G740" i="11"/>
  <c r="F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J727" i="11"/>
  <c r="I727" i="11"/>
  <c r="H727" i="11"/>
  <c r="G727" i="11"/>
  <c r="F727" i="11"/>
  <c r="J715" i="11"/>
  <c r="J714" i="11" s="1"/>
  <c r="I715" i="11"/>
  <c r="I714" i="11" s="1"/>
  <c r="H715" i="11"/>
  <c r="H714" i="11" s="1"/>
  <c r="G715" i="11"/>
  <c r="F715" i="11"/>
  <c r="E704" i="11"/>
  <c r="E696" i="11" s="1"/>
  <c r="E703" i="11"/>
  <c r="E695" i="11" s="1"/>
  <c r="E702" i="11"/>
  <c r="J701" i="11"/>
  <c r="I701" i="11"/>
  <c r="H701" i="11"/>
  <c r="G701" i="11"/>
  <c r="F701" i="11"/>
  <c r="J697" i="11"/>
  <c r="I697" i="11"/>
  <c r="H697" i="11"/>
  <c r="G697" i="11"/>
  <c r="F697" i="11"/>
  <c r="E691" i="11"/>
  <c r="E690" i="11"/>
  <c r="E689" i="11"/>
  <c r="E688" i="11"/>
  <c r="J687" i="11"/>
  <c r="I687" i="11"/>
  <c r="H687" i="11"/>
  <c r="G687" i="11"/>
  <c r="F687" i="11"/>
  <c r="E686" i="11"/>
  <c r="E685" i="11"/>
  <c r="E679" i="11"/>
  <c r="E678" i="11"/>
  <c r="E677" i="11"/>
  <c r="E676" i="11"/>
  <c r="E675" i="11"/>
  <c r="J673" i="11"/>
  <c r="I673" i="11"/>
  <c r="H673" i="11"/>
  <c r="G673" i="11"/>
  <c r="F673" i="11"/>
  <c r="E672" i="11"/>
  <c r="E671" i="11"/>
  <c r="E670" i="11"/>
  <c r="E669" i="11"/>
  <c r="E668" i="11"/>
  <c r="E667" i="11"/>
  <c r="J666" i="11"/>
  <c r="I666" i="11"/>
  <c r="H666" i="11"/>
  <c r="G666" i="11"/>
  <c r="F666" i="11"/>
  <c r="E665" i="11"/>
  <c r="J664" i="11"/>
  <c r="I664" i="11"/>
  <c r="H664" i="11"/>
  <c r="G664" i="11"/>
  <c r="F664" i="11"/>
  <c r="E664" i="11"/>
  <c r="E663" i="11"/>
  <c r="J662" i="11"/>
  <c r="I662" i="11"/>
  <c r="H662" i="11"/>
  <c r="G662" i="11"/>
  <c r="F662" i="11"/>
  <c r="E662" i="11"/>
  <c r="E661" i="11"/>
  <c r="J660" i="11"/>
  <c r="I660" i="11"/>
  <c r="H660" i="11"/>
  <c r="G660" i="11"/>
  <c r="F660" i="11"/>
  <c r="E660" i="11"/>
  <c r="E659" i="11"/>
  <c r="E658" i="11"/>
  <c r="E651" i="11" s="1"/>
  <c r="E628" i="11" s="1"/>
  <c r="E657" i="11"/>
  <c r="E650" i="11" s="1"/>
  <c r="E627" i="11" s="1"/>
  <c r="E656" i="11"/>
  <c r="E649" i="11" s="1"/>
  <c r="E626" i="11" s="1"/>
  <c r="E655" i="11"/>
  <c r="E648" i="11" s="1"/>
  <c r="E654" i="11"/>
  <c r="E647" i="11" s="1"/>
  <c r="E653" i="11"/>
  <c r="E646" i="11" s="1"/>
  <c r="J652" i="11"/>
  <c r="I652" i="11"/>
  <c r="I629" i="11" s="1"/>
  <c r="I563" i="11" s="1"/>
  <c r="H652" i="11"/>
  <c r="H629" i="11" s="1"/>
  <c r="H563" i="11" s="1"/>
  <c r="G652" i="11"/>
  <c r="G629" i="11" s="1"/>
  <c r="G563" i="11" s="1"/>
  <c r="F652" i="11"/>
  <c r="E652" i="11"/>
  <c r="E629" i="11" s="1"/>
  <c r="J651" i="11"/>
  <c r="J628" i="11" s="1"/>
  <c r="J562" i="11" s="1"/>
  <c r="I651" i="11"/>
  <c r="I628" i="11" s="1"/>
  <c r="I562" i="11" s="1"/>
  <c r="H651" i="11"/>
  <c r="H628" i="11" s="1"/>
  <c r="H562" i="11" s="1"/>
  <c r="G651" i="11"/>
  <c r="G628" i="11" s="1"/>
  <c r="G562" i="11" s="1"/>
  <c r="F651" i="11"/>
  <c r="J650" i="11"/>
  <c r="J627" i="11" s="1"/>
  <c r="J561" i="11" s="1"/>
  <c r="I650" i="11"/>
  <c r="I627" i="11" s="1"/>
  <c r="I561" i="11" s="1"/>
  <c r="H650" i="11"/>
  <c r="H627" i="11" s="1"/>
  <c r="H561" i="11" s="1"/>
  <c r="G650" i="11"/>
  <c r="G627" i="11" s="1"/>
  <c r="G561" i="11" s="1"/>
  <c r="F650" i="11"/>
  <c r="J649" i="11"/>
  <c r="J626" i="11" s="1"/>
  <c r="J560" i="11" s="1"/>
  <c r="I649" i="11"/>
  <c r="I626" i="11" s="1"/>
  <c r="I560" i="11" s="1"/>
  <c r="H649" i="11"/>
  <c r="H626" i="11" s="1"/>
  <c r="H560" i="11" s="1"/>
  <c r="G649" i="11"/>
  <c r="G626" i="11" s="1"/>
  <c r="G560" i="11" s="1"/>
  <c r="F649" i="11"/>
  <c r="J648" i="11"/>
  <c r="J625" i="11" s="1"/>
  <c r="J559" i="11" s="1"/>
  <c r="I648" i="11"/>
  <c r="I625" i="11" s="1"/>
  <c r="I559" i="11" s="1"/>
  <c r="H648" i="11"/>
  <c r="H625" i="11" s="1"/>
  <c r="H559" i="11" s="1"/>
  <c r="G648" i="11"/>
  <c r="G625" i="11" s="1"/>
  <c r="G559" i="11" s="1"/>
  <c r="F648" i="11"/>
  <c r="J647" i="11"/>
  <c r="I647" i="11"/>
  <c r="H647" i="11"/>
  <c r="G647" i="11"/>
  <c r="F647" i="11"/>
  <c r="J646" i="11"/>
  <c r="I646" i="11"/>
  <c r="H646" i="11"/>
  <c r="G646" i="11"/>
  <c r="F646" i="11"/>
  <c r="E644" i="11"/>
  <c r="E642" i="11" s="1"/>
  <c r="E643" i="11"/>
  <c r="E641" i="11" s="1"/>
  <c r="J642" i="11"/>
  <c r="I642" i="11"/>
  <c r="H642" i="11"/>
  <c r="G642" i="11"/>
  <c r="F642" i="11"/>
  <c r="J641" i="11"/>
  <c r="I641" i="11"/>
  <c r="H641" i="11"/>
  <c r="G641" i="11"/>
  <c r="F641" i="11"/>
  <c r="E639" i="11"/>
  <c r="E637" i="11" s="1"/>
  <c r="E638" i="11"/>
  <c r="E636" i="11" s="1"/>
  <c r="J637" i="11"/>
  <c r="I637" i="11"/>
  <c r="H637" i="11"/>
  <c r="G637" i="11"/>
  <c r="F637" i="11"/>
  <c r="J636" i="11"/>
  <c r="I636" i="11"/>
  <c r="I622" i="11" s="1"/>
  <c r="I556" i="11" s="1"/>
  <c r="H636" i="11"/>
  <c r="H622" i="11" s="1"/>
  <c r="H556" i="11" s="1"/>
  <c r="G636" i="11"/>
  <c r="F636" i="11"/>
  <c r="E634" i="11"/>
  <c r="E632" i="11" s="1"/>
  <c r="E633" i="11"/>
  <c r="E631" i="11" s="1"/>
  <c r="J632" i="11"/>
  <c r="J624" i="11" s="1"/>
  <c r="J558" i="11" s="1"/>
  <c r="I632" i="11"/>
  <c r="H632" i="11"/>
  <c r="H624" i="11" s="1"/>
  <c r="H558" i="11" s="1"/>
  <c r="G632" i="11"/>
  <c r="F632" i="11"/>
  <c r="J631" i="11"/>
  <c r="I631" i="11"/>
  <c r="H631" i="11"/>
  <c r="G631" i="11"/>
  <c r="G623" i="11" s="1"/>
  <c r="F631" i="11"/>
  <c r="J629" i="11"/>
  <c r="J563" i="11" s="1"/>
  <c r="E620" i="11"/>
  <c r="E619" i="11"/>
  <c r="E618" i="11"/>
  <c r="E617" i="11"/>
  <c r="E616" i="11"/>
  <c r="E615" i="11"/>
  <c r="E614" i="11"/>
  <c r="E613" i="11"/>
  <c r="E612" i="11"/>
  <c r="J611" i="11"/>
  <c r="I611" i="11"/>
  <c r="H611" i="11"/>
  <c r="G611" i="11"/>
  <c r="F611" i="11"/>
  <c r="E610" i="11"/>
  <c r="E609" i="11"/>
  <c r="E608" i="11"/>
  <c r="E606" i="11"/>
  <c r="E605" i="11"/>
  <c r="E604" i="11"/>
  <c r="E603" i="11"/>
  <c r="E602" i="11"/>
  <c r="E601" i="11"/>
  <c r="E600" i="11"/>
  <c r="E599" i="11"/>
  <c r="E598" i="11"/>
  <c r="J597" i="11"/>
  <c r="I597" i="11"/>
  <c r="H597" i="11"/>
  <c r="G597" i="11"/>
  <c r="F597" i="11"/>
  <c r="E594" i="11"/>
  <c r="J593" i="11"/>
  <c r="I593" i="11"/>
  <c r="H593" i="11"/>
  <c r="G593" i="11"/>
  <c r="F593" i="11"/>
  <c r="E593" i="11"/>
  <c r="E592" i="11"/>
  <c r="J591" i="11"/>
  <c r="I591" i="11"/>
  <c r="H591" i="11"/>
  <c r="G591" i="11"/>
  <c r="F591" i="11"/>
  <c r="E591" i="11"/>
  <c r="E590" i="11"/>
  <c r="J589" i="11"/>
  <c r="I589" i="11"/>
  <c r="H589" i="11"/>
  <c r="G589" i="11"/>
  <c r="F589" i="11"/>
  <c r="E589" i="11"/>
  <c r="E588" i="11"/>
  <c r="J587" i="11"/>
  <c r="I587" i="11"/>
  <c r="H587" i="11"/>
  <c r="G587" i="11"/>
  <c r="F587" i="11"/>
  <c r="E587" i="11"/>
  <c r="E586" i="11"/>
  <c r="J585" i="11"/>
  <c r="I585" i="11"/>
  <c r="H585" i="11"/>
  <c r="G585" i="11"/>
  <c r="F585" i="11"/>
  <c r="E585" i="11"/>
  <c r="E584" i="11"/>
  <c r="E583" i="11" s="1"/>
  <c r="J583" i="11"/>
  <c r="I583" i="11"/>
  <c r="H583" i="11"/>
  <c r="G583" i="11"/>
  <c r="F583" i="11"/>
  <c r="E582" i="11"/>
  <c r="J581" i="11"/>
  <c r="I581" i="11"/>
  <c r="H581" i="11"/>
  <c r="G581" i="11"/>
  <c r="F581" i="11"/>
  <c r="E581" i="11"/>
  <c r="E580" i="11"/>
  <c r="J579" i="11"/>
  <c r="I579" i="11"/>
  <c r="H579" i="11"/>
  <c r="G579" i="11"/>
  <c r="F579" i="11"/>
  <c r="E579" i="11"/>
  <c r="E578" i="11"/>
  <c r="J577" i="11"/>
  <c r="I577" i="11"/>
  <c r="H577" i="11"/>
  <c r="G577" i="11"/>
  <c r="F577" i="11"/>
  <c r="E577" i="11"/>
  <c r="E576" i="11"/>
  <c r="J575" i="11"/>
  <c r="I575" i="11"/>
  <c r="H575" i="11"/>
  <c r="G575" i="11"/>
  <c r="F575" i="11"/>
  <c r="E575" i="11"/>
  <c r="E574" i="11"/>
  <c r="J573" i="11"/>
  <c r="I573" i="11"/>
  <c r="H573" i="11"/>
  <c r="G573" i="11"/>
  <c r="F573" i="11"/>
  <c r="E573" i="11"/>
  <c r="E572" i="11"/>
  <c r="E571" i="11"/>
  <c r="E565" i="11" s="1"/>
  <c r="E570" i="11"/>
  <c r="E569" i="11"/>
  <c r="J568" i="11"/>
  <c r="I568" i="11"/>
  <c r="H568" i="11"/>
  <c r="G568" i="11"/>
  <c r="F568" i="11"/>
  <c r="I567" i="11"/>
  <c r="G567" i="11"/>
  <c r="F567" i="11"/>
  <c r="J566" i="11"/>
  <c r="I566" i="11"/>
  <c r="H566" i="11"/>
  <c r="G566" i="11"/>
  <c r="F566" i="11"/>
  <c r="J565" i="11"/>
  <c r="I565" i="11"/>
  <c r="H565" i="11"/>
  <c r="G565" i="11"/>
  <c r="F565" i="11"/>
  <c r="J564" i="11"/>
  <c r="I564" i="11"/>
  <c r="H564" i="11"/>
  <c r="G564" i="11"/>
  <c r="F564" i="11"/>
  <c r="E554" i="11"/>
  <c r="E546" i="11" s="1"/>
  <c r="E553" i="11"/>
  <c r="E545" i="11" s="1"/>
  <c r="E552" i="11"/>
  <c r="E544" i="11" s="1"/>
  <c r="E551" i="11"/>
  <c r="E543" i="11" s="1"/>
  <c r="E550" i="11"/>
  <c r="E542" i="11" s="1"/>
  <c r="E549" i="11"/>
  <c r="E548" i="11"/>
  <c r="E540" i="11" s="1"/>
  <c r="J547" i="11"/>
  <c r="I547" i="11"/>
  <c r="I539" i="11" s="1"/>
  <c r="H547" i="11"/>
  <c r="H539" i="11" s="1"/>
  <c r="G547" i="11"/>
  <c r="G539" i="11" s="1"/>
  <c r="F547" i="11"/>
  <c r="F539" i="11" s="1"/>
  <c r="J546" i="11"/>
  <c r="I546" i="11"/>
  <c r="H546" i="11"/>
  <c r="G546" i="11"/>
  <c r="F546" i="11"/>
  <c r="J545" i="11"/>
  <c r="I545" i="11"/>
  <c r="H545" i="11"/>
  <c r="G545" i="11"/>
  <c r="F545" i="11"/>
  <c r="J544" i="11"/>
  <c r="I544" i="11"/>
  <c r="H544" i="11"/>
  <c r="G544" i="11"/>
  <c r="F544" i="11"/>
  <c r="J543" i="11"/>
  <c r="I543" i="11"/>
  <c r="H543" i="11"/>
  <c r="G543" i="11"/>
  <c r="F543" i="11"/>
  <c r="J542" i="11"/>
  <c r="I542" i="11"/>
  <c r="H542" i="11"/>
  <c r="G542" i="11"/>
  <c r="F542" i="11"/>
  <c r="J541" i="11"/>
  <c r="I541" i="11"/>
  <c r="H541" i="11"/>
  <c r="G541" i="11"/>
  <c r="F541" i="11"/>
  <c r="J540" i="11"/>
  <c r="I540" i="11"/>
  <c r="H540" i="11"/>
  <c r="G540" i="11"/>
  <c r="F540" i="11"/>
  <c r="J539" i="11"/>
  <c r="E538" i="11"/>
  <c r="E525" i="11" s="1"/>
  <c r="E537" i="11"/>
  <c r="E536" i="11"/>
  <c r="E523" i="11" s="1"/>
  <c r="E535" i="11"/>
  <c r="E522" i="11" s="1"/>
  <c r="E534" i="11"/>
  <c r="E521" i="11" s="1"/>
  <c r="E533" i="11"/>
  <c r="E520" i="11" s="1"/>
  <c r="E532" i="11"/>
  <c r="E519" i="11" s="1"/>
  <c r="E531" i="11"/>
  <c r="E518" i="11" s="1"/>
  <c r="E530" i="11"/>
  <c r="E517" i="11" s="1"/>
  <c r="E529" i="11"/>
  <c r="E516" i="11" s="1"/>
  <c r="E528" i="11"/>
  <c r="E527" i="11"/>
  <c r="E514" i="11" s="1"/>
  <c r="J526" i="11"/>
  <c r="I526" i="11"/>
  <c r="H526" i="11"/>
  <c r="G526" i="11"/>
  <c r="F526" i="11"/>
  <c r="J525" i="11"/>
  <c r="I525" i="11"/>
  <c r="H525" i="11"/>
  <c r="G525" i="11"/>
  <c r="F525" i="11"/>
  <c r="J524" i="11"/>
  <c r="I524" i="11"/>
  <c r="H524" i="11"/>
  <c r="G524" i="11"/>
  <c r="F524" i="11"/>
  <c r="E524" i="11"/>
  <c r="J523" i="11"/>
  <c r="I523" i="11"/>
  <c r="H523" i="11"/>
  <c r="G523" i="11"/>
  <c r="F523" i="11"/>
  <c r="J522" i="11"/>
  <c r="I522" i="11"/>
  <c r="H522" i="11"/>
  <c r="G522" i="11"/>
  <c r="F522" i="11"/>
  <c r="J521" i="11"/>
  <c r="I521" i="11"/>
  <c r="H521" i="11"/>
  <c r="G521" i="11"/>
  <c r="F521" i="11"/>
  <c r="J520" i="11"/>
  <c r="I520" i="11"/>
  <c r="H520" i="11"/>
  <c r="G520" i="11"/>
  <c r="F520" i="11"/>
  <c r="J519" i="11"/>
  <c r="I519" i="11"/>
  <c r="H519" i="11"/>
  <c r="G519" i="11"/>
  <c r="F519" i="11"/>
  <c r="J518" i="11"/>
  <c r="I518" i="11"/>
  <c r="H518" i="11"/>
  <c r="G518" i="11"/>
  <c r="F518" i="11"/>
  <c r="J517" i="11"/>
  <c r="I517" i="11"/>
  <c r="H517" i="11"/>
  <c r="G517" i="11"/>
  <c r="F517" i="11"/>
  <c r="J516" i="11"/>
  <c r="I516" i="11"/>
  <c r="H516" i="11"/>
  <c r="G516" i="11"/>
  <c r="F516" i="11"/>
  <c r="J515" i="11"/>
  <c r="I515" i="11"/>
  <c r="H515" i="11"/>
  <c r="G515" i="11"/>
  <c r="F515" i="11"/>
  <c r="E512" i="11"/>
  <c r="E511" i="11" s="1"/>
  <c r="E509" i="11" s="1"/>
  <c r="J511" i="11"/>
  <c r="I511" i="11"/>
  <c r="I509" i="11" s="1"/>
  <c r="H511" i="11"/>
  <c r="H509" i="11" s="1"/>
  <c r="G511" i="11"/>
  <c r="G509" i="11" s="1"/>
  <c r="F511" i="11"/>
  <c r="F509" i="11" s="1"/>
  <c r="J510" i="11"/>
  <c r="I510" i="11"/>
  <c r="H510" i="11"/>
  <c r="G510" i="11"/>
  <c r="F510" i="11"/>
  <c r="J509" i="11"/>
  <c r="E507" i="11"/>
  <c r="E506" i="11" s="1"/>
  <c r="E505" i="11"/>
  <c r="E504" i="11"/>
  <c r="E503" i="11"/>
  <c r="E502" i="11"/>
  <c r="E501" i="11"/>
  <c r="E500" i="11"/>
  <c r="E499" i="11"/>
  <c r="J498" i="11"/>
  <c r="I498" i="11"/>
  <c r="H498" i="11"/>
  <c r="G498" i="11"/>
  <c r="E497" i="11"/>
  <c r="E496" i="11"/>
  <c r="J495" i="11"/>
  <c r="I495" i="11"/>
  <c r="H495" i="11"/>
  <c r="G495" i="11"/>
  <c r="F495" i="11"/>
  <c r="E494" i="11"/>
  <c r="E493" i="11" s="1"/>
  <c r="E492" i="11"/>
  <c r="E491" i="11"/>
  <c r="E490" i="11"/>
  <c r="E489" i="11"/>
  <c r="E488" i="11"/>
  <c r="E487" i="11"/>
  <c r="J486" i="11"/>
  <c r="I486" i="11"/>
  <c r="H486" i="11"/>
  <c r="G486" i="11"/>
  <c r="F486" i="11"/>
  <c r="E485" i="11"/>
  <c r="E484" i="11"/>
  <c r="E483" i="11"/>
  <c r="J482" i="11"/>
  <c r="I482" i="11"/>
  <c r="H482" i="11"/>
  <c r="G482" i="11"/>
  <c r="F482" i="11"/>
  <c r="E481" i="11"/>
  <c r="E480" i="11"/>
  <c r="E479" i="11"/>
  <c r="E478" i="11"/>
  <c r="E477" i="11"/>
  <c r="E476" i="11"/>
  <c r="E474" i="11"/>
  <c r="E467" i="11" s="1"/>
  <c r="E460" i="11" s="1"/>
  <c r="E473" i="11"/>
  <c r="E472" i="11"/>
  <c r="E465" i="11" s="1"/>
  <c r="E458" i="11" s="1"/>
  <c r="E471" i="11"/>
  <c r="E470" i="11"/>
  <c r="E463" i="11" s="1"/>
  <c r="E456" i="11" s="1"/>
  <c r="E469" i="11"/>
  <c r="J467" i="11"/>
  <c r="J460" i="11" s="1"/>
  <c r="I467" i="11"/>
  <c r="I460" i="11" s="1"/>
  <c r="H467" i="11"/>
  <c r="H460" i="11" s="1"/>
  <c r="G467" i="11"/>
  <c r="G460" i="11" s="1"/>
  <c r="F467" i="11"/>
  <c r="J466" i="11"/>
  <c r="J459" i="11" s="1"/>
  <c r="I466" i="11"/>
  <c r="I459" i="11" s="1"/>
  <c r="H466" i="11"/>
  <c r="H459" i="11" s="1"/>
  <c r="G466" i="11"/>
  <c r="G459" i="11" s="1"/>
  <c r="F466" i="11"/>
  <c r="J465" i="11"/>
  <c r="J458" i="11" s="1"/>
  <c r="I465" i="11"/>
  <c r="I458" i="11" s="1"/>
  <c r="H465" i="11"/>
  <c r="H458" i="11" s="1"/>
  <c r="G465" i="11"/>
  <c r="G458" i="11" s="1"/>
  <c r="F465" i="11"/>
  <c r="J464" i="11"/>
  <c r="J457" i="11" s="1"/>
  <c r="I464" i="11"/>
  <c r="I457" i="11" s="1"/>
  <c r="H464" i="11"/>
  <c r="H457" i="11" s="1"/>
  <c r="G464" i="11"/>
  <c r="G457" i="11" s="1"/>
  <c r="F464" i="11"/>
  <c r="J463" i="11"/>
  <c r="J456" i="11" s="1"/>
  <c r="I463" i="11"/>
  <c r="I456" i="11" s="1"/>
  <c r="H463" i="11"/>
  <c r="H456" i="11" s="1"/>
  <c r="G463" i="11"/>
  <c r="G456" i="11" s="1"/>
  <c r="F463" i="11"/>
  <c r="J462" i="11"/>
  <c r="J455" i="11" s="1"/>
  <c r="I462" i="11"/>
  <c r="I455" i="11" s="1"/>
  <c r="H462" i="11"/>
  <c r="H455" i="11" s="1"/>
  <c r="G462" i="11"/>
  <c r="G455" i="11" s="1"/>
  <c r="F462" i="11"/>
  <c r="F455" i="11" s="1"/>
  <c r="E452" i="11"/>
  <c r="E439" i="11" s="1"/>
  <c r="E451" i="11"/>
  <c r="E450" i="11"/>
  <c r="E437" i="11" s="1"/>
  <c r="E449" i="11"/>
  <c r="E436" i="11" s="1"/>
  <c r="E448" i="11"/>
  <c r="E435" i="11" s="1"/>
  <c r="E447" i="11"/>
  <c r="E434" i="11" s="1"/>
  <c r="E446" i="11"/>
  <c r="E433" i="11" s="1"/>
  <c r="E445" i="11"/>
  <c r="E432" i="11" s="1"/>
  <c r="E444" i="11"/>
  <c r="E431" i="11" s="1"/>
  <c r="E443" i="11"/>
  <c r="E430" i="11" s="1"/>
  <c r="E442" i="11"/>
  <c r="E441" i="11"/>
  <c r="E428" i="11" s="1"/>
  <c r="J440" i="11"/>
  <c r="I440" i="11"/>
  <c r="I427" i="11" s="1"/>
  <c r="H440" i="11"/>
  <c r="H427" i="11" s="1"/>
  <c r="G440" i="11"/>
  <c r="G427" i="11" s="1"/>
  <c r="F440" i="11"/>
  <c r="J439" i="11"/>
  <c r="I439" i="11"/>
  <c r="H439" i="11"/>
  <c r="G439" i="11"/>
  <c r="F439" i="11"/>
  <c r="J438" i="11"/>
  <c r="I438" i="11"/>
  <c r="H438" i="11"/>
  <c r="G438" i="11"/>
  <c r="F438" i="11"/>
  <c r="E438" i="11"/>
  <c r="J437" i="11"/>
  <c r="I437" i="11"/>
  <c r="H437" i="11"/>
  <c r="G437" i="11"/>
  <c r="F437" i="11"/>
  <c r="J436" i="11"/>
  <c r="I436" i="11"/>
  <c r="H436" i="11"/>
  <c r="G436" i="11"/>
  <c r="F436" i="11"/>
  <c r="J435" i="11"/>
  <c r="I435" i="11"/>
  <c r="H435" i="11"/>
  <c r="G435" i="11"/>
  <c r="F435" i="11"/>
  <c r="J434" i="11"/>
  <c r="I434" i="11"/>
  <c r="H434" i="11"/>
  <c r="G434" i="11"/>
  <c r="F434" i="11"/>
  <c r="J433" i="11"/>
  <c r="I433" i="11"/>
  <c r="H433" i="11"/>
  <c r="G433" i="11"/>
  <c r="F433" i="11"/>
  <c r="J432" i="11"/>
  <c r="I432" i="11"/>
  <c r="H432" i="11"/>
  <c r="G432" i="11"/>
  <c r="F432" i="11"/>
  <c r="J431" i="11"/>
  <c r="I431" i="11"/>
  <c r="H431" i="11"/>
  <c r="G431" i="11"/>
  <c r="F431" i="11"/>
  <c r="J430" i="11"/>
  <c r="I430" i="11"/>
  <c r="H430" i="11"/>
  <c r="G430" i="11"/>
  <c r="F430" i="11"/>
  <c r="J429" i="11"/>
  <c r="I429" i="11"/>
  <c r="H429" i="11"/>
  <c r="G429" i="11"/>
  <c r="F429" i="11"/>
  <c r="J428" i="11"/>
  <c r="I428" i="11"/>
  <c r="H428" i="11"/>
  <c r="G428" i="11"/>
  <c r="F428" i="11"/>
  <c r="J427" i="11"/>
  <c r="E426" i="11"/>
  <c r="E425" i="11"/>
  <c r="E424" i="11"/>
  <c r="E423" i="11"/>
  <c r="E422" i="11"/>
  <c r="E421" i="11"/>
  <c r="E420" i="11"/>
  <c r="J419" i="11"/>
  <c r="I419" i="11"/>
  <c r="H419" i="11"/>
  <c r="G419" i="11"/>
  <c r="F419" i="11"/>
  <c r="E418" i="11"/>
  <c r="J416" i="11"/>
  <c r="I416" i="11"/>
  <c r="H416" i="11"/>
  <c r="G416" i="11"/>
  <c r="F416" i="11"/>
  <c r="F415" i="11"/>
  <c r="F414" i="11"/>
  <c r="F413" i="11"/>
  <c r="F412" i="11"/>
  <c r="F411" i="11"/>
  <c r="F410" i="11"/>
  <c r="F409" i="11"/>
  <c r="J408" i="11"/>
  <c r="I408" i="11"/>
  <c r="H408" i="11"/>
  <c r="G408" i="11"/>
  <c r="J407" i="11"/>
  <c r="I407" i="11"/>
  <c r="H407" i="11"/>
  <c r="G407" i="11"/>
  <c r="J406" i="11"/>
  <c r="I406" i="11"/>
  <c r="H406" i="11"/>
  <c r="G406" i="11"/>
  <c r="F406" i="11"/>
  <c r="J405" i="11"/>
  <c r="J404" i="11"/>
  <c r="I404" i="11"/>
  <c r="H404" i="11"/>
  <c r="G404" i="11"/>
  <c r="J403" i="11"/>
  <c r="I403" i="11"/>
  <c r="H403" i="11"/>
  <c r="G403" i="11"/>
  <c r="J402" i="11"/>
  <c r="I402" i="11"/>
  <c r="H402" i="11"/>
  <c r="G402" i="11"/>
  <c r="E399" i="11"/>
  <c r="E398" i="11" s="1"/>
  <c r="J398" i="11"/>
  <c r="I398" i="11"/>
  <c r="H398" i="11"/>
  <c r="G398" i="11"/>
  <c r="F398" i="11"/>
  <c r="E397" i="11"/>
  <c r="J396" i="11"/>
  <c r="I396" i="11"/>
  <c r="H396" i="11"/>
  <c r="G396" i="11"/>
  <c r="F396" i="11"/>
  <c r="E396" i="11"/>
  <c r="E395" i="11"/>
  <c r="J394" i="11"/>
  <c r="I394" i="11"/>
  <c r="H394" i="11"/>
  <c r="G394" i="11"/>
  <c r="F394" i="11"/>
  <c r="E394" i="11"/>
  <c r="E393" i="11"/>
  <c r="E359" i="11" s="1"/>
  <c r="J392" i="11"/>
  <c r="I392" i="11"/>
  <c r="H392" i="11"/>
  <c r="G392" i="11"/>
  <c r="F392" i="11"/>
  <c r="E392" i="11"/>
  <c r="E391" i="11"/>
  <c r="E390" i="11"/>
  <c r="J389" i="11"/>
  <c r="I389" i="11"/>
  <c r="H389" i="11"/>
  <c r="G389" i="11"/>
  <c r="F389" i="11"/>
  <c r="E388" i="11"/>
  <c r="E366" i="11" s="1"/>
  <c r="J387" i="11"/>
  <c r="I387" i="11"/>
  <c r="H387" i="11"/>
  <c r="G387" i="11"/>
  <c r="F387" i="11"/>
  <c r="E387" i="11"/>
  <c r="E386" i="11"/>
  <c r="J385" i="11"/>
  <c r="I385" i="11"/>
  <c r="H385" i="11"/>
  <c r="G385" i="11"/>
  <c r="F385" i="11"/>
  <c r="E385" i="11"/>
  <c r="E384" i="11"/>
  <c r="E364" i="11" s="1"/>
  <c r="J383" i="11"/>
  <c r="I383" i="11"/>
  <c r="H383" i="11"/>
  <c r="G383" i="11"/>
  <c r="F383" i="11"/>
  <c r="E383" i="11"/>
  <c r="E382" i="11"/>
  <c r="E363" i="11" s="1"/>
  <c r="J381" i="11"/>
  <c r="I381" i="11"/>
  <c r="H381" i="11"/>
  <c r="G381" i="11"/>
  <c r="F381" i="11"/>
  <c r="E381" i="11"/>
  <c r="E380" i="11"/>
  <c r="E379" i="11"/>
  <c r="J378" i="11"/>
  <c r="I378" i="11"/>
  <c r="H378" i="11"/>
  <c r="G378" i="11"/>
  <c r="F378" i="11"/>
  <c r="E377" i="11"/>
  <c r="J376" i="11"/>
  <c r="I376" i="11"/>
  <c r="H376" i="11"/>
  <c r="G376" i="11"/>
  <c r="F376" i="11"/>
  <c r="E376" i="11"/>
  <c r="E375" i="11"/>
  <c r="J374" i="11"/>
  <c r="I374" i="11"/>
  <c r="H374" i="11"/>
  <c r="G374" i="11"/>
  <c r="F374" i="11"/>
  <c r="E374" i="11"/>
  <c r="E373" i="11"/>
  <c r="J372" i="11"/>
  <c r="I372" i="11"/>
  <c r="H372" i="11"/>
  <c r="G372" i="11"/>
  <c r="F372" i="11"/>
  <c r="E372" i="11"/>
  <c r="E371" i="11"/>
  <c r="J370" i="11"/>
  <c r="I370" i="11"/>
  <c r="H370" i="11"/>
  <c r="G370" i="11"/>
  <c r="F370" i="11"/>
  <c r="E370" i="11"/>
  <c r="J368" i="11"/>
  <c r="I368" i="11"/>
  <c r="H368" i="11"/>
  <c r="G368" i="11"/>
  <c r="F368" i="11"/>
  <c r="E368" i="11"/>
  <c r="J367" i="11"/>
  <c r="I367" i="11"/>
  <c r="H367" i="11"/>
  <c r="G367" i="11"/>
  <c r="F367" i="11"/>
  <c r="E367" i="11"/>
  <c r="J366" i="11"/>
  <c r="I366" i="11"/>
  <c r="H366" i="11"/>
  <c r="G366" i="11"/>
  <c r="F366" i="11"/>
  <c r="J365" i="11"/>
  <c r="I365" i="11"/>
  <c r="H365" i="11"/>
  <c r="G365" i="11"/>
  <c r="F365" i="11"/>
  <c r="E365" i="11"/>
  <c r="J364" i="11"/>
  <c r="I364" i="11"/>
  <c r="H364" i="11"/>
  <c r="G364" i="11"/>
  <c r="F364" i="11"/>
  <c r="J363" i="11"/>
  <c r="I363" i="11"/>
  <c r="H363" i="11"/>
  <c r="G363" i="11"/>
  <c r="F363" i="11"/>
  <c r="J362" i="11"/>
  <c r="I362" i="11"/>
  <c r="H362" i="11"/>
  <c r="G362" i="11"/>
  <c r="F362" i="11"/>
  <c r="J361" i="11"/>
  <c r="I361" i="11"/>
  <c r="H361" i="11"/>
  <c r="G361" i="11"/>
  <c r="F361" i="11"/>
  <c r="J360" i="11"/>
  <c r="I360" i="11"/>
  <c r="H360" i="11"/>
  <c r="G360" i="11"/>
  <c r="F360" i="11"/>
  <c r="E357" i="11"/>
  <c r="E356" i="11" s="1"/>
  <c r="J356" i="11"/>
  <c r="I356" i="11"/>
  <c r="H356" i="11"/>
  <c r="G356" i="11"/>
  <c r="F356" i="11"/>
  <c r="E355" i="11"/>
  <c r="J354" i="11"/>
  <c r="I354" i="11"/>
  <c r="H354" i="11"/>
  <c r="G354" i="11"/>
  <c r="F354" i="11"/>
  <c r="E353" i="11"/>
  <c r="E352" i="11" s="1"/>
  <c r="J352" i="11"/>
  <c r="I352" i="11"/>
  <c r="H352" i="11"/>
  <c r="G352" i="11"/>
  <c r="F352" i="11"/>
  <c r="E351" i="11"/>
  <c r="E350" i="11"/>
  <c r="J349" i="11"/>
  <c r="I349" i="11"/>
  <c r="H349" i="11"/>
  <c r="G349" i="11"/>
  <c r="F349" i="11"/>
  <c r="E348" i="11"/>
  <c r="J347" i="11"/>
  <c r="I347" i="11"/>
  <c r="H347" i="11"/>
  <c r="G347" i="11"/>
  <c r="F347" i="11"/>
  <c r="E347" i="11"/>
  <c r="E346" i="11"/>
  <c r="E345" i="11"/>
  <c r="E344" i="11"/>
  <c r="E343" i="11"/>
  <c r="J342" i="11"/>
  <c r="I342" i="11"/>
  <c r="H342" i="11"/>
  <c r="G342" i="11"/>
  <c r="F342" i="11"/>
  <c r="E341" i="11"/>
  <c r="J340" i="11"/>
  <c r="J276" i="11" s="1"/>
  <c r="I340" i="11"/>
  <c r="I276" i="11" s="1"/>
  <c r="H340" i="11"/>
  <c r="H276" i="11" s="1"/>
  <c r="G340" i="11"/>
  <c r="G276" i="11" s="1"/>
  <c r="F340" i="11"/>
  <c r="E340" i="11"/>
  <c r="E276" i="11" s="1"/>
  <c r="E339" i="11"/>
  <c r="E338" i="11"/>
  <c r="E337" i="11"/>
  <c r="E335" i="11"/>
  <c r="E334" i="11"/>
  <c r="J333" i="11"/>
  <c r="I333" i="11"/>
  <c r="H333" i="11"/>
  <c r="G333" i="11"/>
  <c r="F333" i="11"/>
  <c r="E332" i="11"/>
  <c r="J331" i="11"/>
  <c r="I331" i="11"/>
  <c r="H331" i="11"/>
  <c r="G331" i="11"/>
  <c r="F331" i="11"/>
  <c r="E331" i="11"/>
  <c r="E328" i="11"/>
  <c r="E287" i="11" s="1"/>
  <c r="E327" i="11"/>
  <c r="E286" i="11" s="1"/>
  <c r="E326" i="11"/>
  <c r="E285" i="11" s="1"/>
  <c r="E325" i="11"/>
  <c r="E284" i="11" s="1"/>
  <c r="E324" i="11"/>
  <c r="E323" i="11"/>
  <c r="E322" i="11"/>
  <c r="E321" i="11"/>
  <c r="J320" i="11"/>
  <c r="J279" i="11" s="1"/>
  <c r="I320" i="11"/>
  <c r="I279" i="11" s="1"/>
  <c r="G320" i="11"/>
  <c r="E319" i="11"/>
  <c r="E318" i="11"/>
  <c r="H317" i="11"/>
  <c r="J307" i="11"/>
  <c r="I307" i="11"/>
  <c r="H307" i="11"/>
  <c r="G307" i="11"/>
  <c r="F307" i="11"/>
  <c r="E307" i="11"/>
  <c r="E306" i="11"/>
  <c r="J304" i="11"/>
  <c r="I304" i="11"/>
  <c r="H304" i="11"/>
  <c r="G304" i="11"/>
  <c r="F304" i="11"/>
  <c r="E304" i="11"/>
  <c r="E303" i="11"/>
  <c r="J302" i="11"/>
  <c r="I302" i="11"/>
  <c r="H302" i="11"/>
  <c r="G302" i="11"/>
  <c r="F302" i="11"/>
  <c r="E302" i="11"/>
  <c r="E301" i="11"/>
  <c r="J300" i="11"/>
  <c r="I300" i="11"/>
  <c r="H300" i="11"/>
  <c r="G300" i="11"/>
  <c r="F300" i="11"/>
  <c r="E300" i="11"/>
  <c r="E299" i="11"/>
  <c r="J298" i="11"/>
  <c r="I298" i="11"/>
  <c r="H298" i="11"/>
  <c r="G298" i="11"/>
  <c r="F298" i="11"/>
  <c r="E298" i="11"/>
  <c r="E297" i="11"/>
  <c r="J296" i="11"/>
  <c r="I296" i="11"/>
  <c r="H296" i="11"/>
  <c r="G296" i="11"/>
  <c r="F296" i="11"/>
  <c r="E296" i="11"/>
  <c r="E295" i="11"/>
  <c r="J294" i="11"/>
  <c r="I294" i="11"/>
  <c r="H294" i="11"/>
  <c r="G294" i="11"/>
  <c r="F294" i="11"/>
  <c r="E293" i="11"/>
  <c r="J292" i="11"/>
  <c r="I292" i="11"/>
  <c r="H292" i="11"/>
  <c r="G292" i="11"/>
  <c r="F292" i="11"/>
  <c r="E292" i="11"/>
  <c r="E291" i="11"/>
  <c r="E290" i="11" s="1"/>
  <c r="E289" i="11"/>
  <c r="E288" i="11" s="1"/>
  <c r="J288" i="11"/>
  <c r="I288" i="11"/>
  <c r="H288" i="11"/>
  <c r="G288" i="11"/>
  <c r="F288" i="11"/>
  <c r="J287" i="11"/>
  <c r="I287" i="11"/>
  <c r="H287" i="11"/>
  <c r="G287" i="11"/>
  <c r="F287" i="11"/>
  <c r="J286" i="11"/>
  <c r="I286" i="11"/>
  <c r="H286" i="11"/>
  <c r="G286" i="11"/>
  <c r="F286" i="11"/>
  <c r="H279" i="11"/>
  <c r="F279" i="11"/>
  <c r="J278" i="11"/>
  <c r="I278" i="11"/>
  <c r="H278" i="11"/>
  <c r="G278" i="11"/>
  <c r="F278" i="11"/>
  <c r="E274" i="11"/>
  <c r="E262" i="11" s="1"/>
  <c r="E273" i="11"/>
  <c r="E261" i="11" s="1"/>
  <c r="E272" i="11"/>
  <c r="E260" i="11" s="1"/>
  <c r="E271" i="11"/>
  <c r="E259" i="11" s="1"/>
  <c r="E270" i="11"/>
  <c r="E258" i="11" s="1"/>
  <c r="E269" i="11"/>
  <c r="E268" i="11"/>
  <c r="J267" i="11"/>
  <c r="I267" i="11"/>
  <c r="H267" i="11"/>
  <c r="G267" i="11"/>
  <c r="F267" i="11"/>
  <c r="E266" i="11"/>
  <c r="E265" i="11"/>
  <c r="E264" i="11"/>
  <c r="E263" i="11"/>
  <c r="J262" i="11"/>
  <c r="I262" i="11"/>
  <c r="H262" i="11"/>
  <c r="G262" i="11"/>
  <c r="F262" i="11"/>
  <c r="J261" i="11"/>
  <c r="I261" i="11"/>
  <c r="H261" i="11"/>
  <c r="G261" i="11"/>
  <c r="F261" i="11"/>
  <c r="J260" i="11"/>
  <c r="I260" i="11"/>
  <c r="H260" i="11"/>
  <c r="G260" i="11"/>
  <c r="F260" i="11"/>
  <c r="J259" i="11"/>
  <c r="I259" i="11"/>
  <c r="H259" i="11"/>
  <c r="G259" i="11"/>
  <c r="F259" i="11"/>
  <c r="J258" i="11"/>
  <c r="I258" i="11"/>
  <c r="H258" i="11"/>
  <c r="G258" i="11"/>
  <c r="F258" i="11"/>
  <c r="J257" i="11"/>
  <c r="I257" i="11"/>
  <c r="H257" i="11"/>
  <c r="G257" i="11"/>
  <c r="F257" i="11"/>
  <c r="J256" i="11"/>
  <c r="I256" i="11"/>
  <c r="H256" i="11"/>
  <c r="G256" i="11"/>
  <c r="F256" i="11"/>
  <c r="E245" i="11"/>
  <c r="E244" i="11" s="1"/>
  <c r="I244" i="11"/>
  <c r="H244" i="11"/>
  <c r="G244" i="11"/>
  <c r="F244" i="11"/>
  <c r="E241" i="11"/>
  <c r="J240" i="11"/>
  <c r="I240" i="11"/>
  <c r="H240" i="11"/>
  <c r="G240" i="11"/>
  <c r="F240" i="11"/>
  <c r="E240" i="11"/>
  <c r="E239" i="11"/>
  <c r="J238" i="11"/>
  <c r="I238" i="11"/>
  <c r="H238" i="11"/>
  <c r="G238" i="11"/>
  <c r="F238" i="11"/>
  <c r="E238" i="11"/>
  <c r="E237" i="11"/>
  <c r="E236" i="11" s="1"/>
  <c r="J236" i="11"/>
  <c r="I236" i="11"/>
  <c r="H236" i="11"/>
  <c r="G236" i="11"/>
  <c r="F236" i="11"/>
  <c r="E235" i="11"/>
  <c r="E234" i="11" s="1"/>
  <c r="J234" i="11"/>
  <c r="I234" i="11"/>
  <c r="H234" i="11"/>
  <c r="G234" i="11"/>
  <c r="F234" i="11"/>
  <c r="E233" i="11"/>
  <c r="E232" i="11"/>
  <c r="J231" i="11"/>
  <c r="I231" i="11"/>
  <c r="H231" i="11"/>
  <c r="G231" i="11"/>
  <c r="F231" i="11"/>
  <c r="E230" i="11"/>
  <c r="E229" i="11"/>
  <c r="E228" i="11"/>
  <c r="J227" i="11"/>
  <c r="I227" i="11"/>
  <c r="H227" i="11"/>
  <c r="G227" i="11"/>
  <c r="F227" i="11"/>
  <c r="E225" i="11"/>
  <c r="J224" i="11"/>
  <c r="I224" i="11"/>
  <c r="H224" i="11"/>
  <c r="G224" i="11"/>
  <c r="F224" i="11"/>
  <c r="E224" i="11"/>
  <c r="E223" i="11"/>
  <c r="E222" i="11" s="1"/>
  <c r="E221" i="11"/>
  <c r="E220" i="11"/>
  <c r="J219" i="11"/>
  <c r="I219" i="11"/>
  <c r="H219" i="11"/>
  <c r="G219" i="11"/>
  <c r="F219" i="11"/>
  <c r="E218" i="11"/>
  <c r="E217" i="11"/>
  <c r="J216" i="11"/>
  <c r="I216" i="11"/>
  <c r="H216" i="11"/>
  <c r="G216" i="11"/>
  <c r="F216" i="11"/>
  <c r="E215" i="11"/>
  <c r="E214" i="11"/>
  <c r="J213" i="11"/>
  <c r="I213" i="11"/>
  <c r="H213" i="11"/>
  <c r="G213" i="11"/>
  <c r="F213" i="11"/>
  <c r="E212" i="11"/>
  <c r="E211" i="11"/>
  <c r="J210" i="11"/>
  <c r="I210" i="11"/>
  <c r="H210" i="11"/>
  <c r="G210" i="11"/>
  <c r="F210" i="11"/>
  <c r="E207" i="11"/>
  <c r="K207" i="11"/>
  <c r="E206" i="11"/>
  <c r="E205" i="11"/>
  <c r="H204" i="11"/>
  <c r="G204" i="11"/>
  <c r="F204" i="11"/>
  <c r="E203" i="11"/>
  <c r="E202" i="11"/>
  <c r="J201" i="11"/>
  <c r="I201" i="11"/>
  <c r="H201" i="11"/>
  <c r="G201" i="11"/>
  <c r="F201" i="11"/>
  <c r="E200" i="11"/>
  <c r="E199" i="11"/>
  <c r="J198" i="11"/>
  <c r="I198" i="11"/>
  <c r="H198" i="11"/>
  <c r="G198" i="11"/>
  <c r="F198" i="11"/>
  <c r="E197" i="11"/>
  <c r="E196" i="11" s="1"/>
  <c r="J196" i="11"/>
  <c r="I196" i="11"/>
  <c r="H196" i="11"/>
  <c r="G196" i="11"/>
  <c r="F196" i="11"/>
  <c r="E195" i="11"/>
  <c r="E192" i="11"/>
  <c r="E191" i="11" s="1"/>
  <c r="J191" i="11"/>
  <c r="I191" i="11"/>
  <c r="H191" i="11"/>
  <c r="G191" i="11"/>
  <c r="F191" i="11"/>
  <c r="E190" i="11"/>
  <c r="E189" i="11"/>
  <c r="J188" i="11"/>
  <c r="I188" i="11"/>
  <c r="H188" i="11"/>
  <c r="G188" i="11"/>
  <c r="F188" i="11"/>
  <c r="E187" i="11"/>
  <c r="E81" i="11" s="1"/>
  <c r="E186" i="11"/>
  <c r="E185" i="11"/>
  <c r="E79" i="11" s="1"/>
  <c r="J184" i="11"/>
  <c r="E183" i="11"/>
  <c r="E182" i="11"/>
  <c r="J181" i="11"/>
  <c r="I181" i="11"/>
  <c r="H181" i="11"/>
  <c r="G181" i="11"/>
  <c r="F181" i="11"/>
  <c r="E156" i="11"/>
  <c r="J155" i="11"/>
  <c r="I155" i="11"/>
  <c r="G155" i="11"/>
  <c r="F155" i="11"/>
  <c r="E154" i="11"/>
  <c r="E153" i="11"/>
  <c r="J152" i="11"/>
  <c r="I152" i="11"/>
  <c r="H152" i="11"/>
  <c r="G152" i="11"/>
  <c r="F152" i="11"/>
  <c r="E151" i="11"/>
  <c r="E149" i="11"/>
  <c r="J148" i="11"/>
  <c r="I148" i="11"/>
  <c r="H148" i="11"/>
  <c r="G148" i="11"/>
  <c r="F148" i="11"/>
  <c r="E147" i="11"/>
  <c r="E127" i="11" s="1"/>
  <c r="E146" i="11"/>
  <c r="E126" i="11" s="1"/>
  <c r="E145" i="11"/>
  <c r="E125" i="11" s="1"/>
  <c r="J143" i="11"/>
  <c r="I143" i="11"/>
  <c r="E142" i="11"/>
  <c r="E141" i="11"/>
  <c r="E140" i="11"/>
  <c r="J139" i="11"/>
  <c r="I139" i="11"/>
  <c r="H139" i="11"/>
  <c r="G139" i="11"/>
  <c r="F139" i="11"/>
  <c r="E138" i="11"/>
  <c r="E130" i="11" s="1"/>
  <c r="E137" i="11"/>
  <c r="E129" i="11" s="1"/>
  <c r="E136" i="11"/>
  <c r="J135" i="11"/>
  <c r="I135" i="11"/>
  <c r="H135" i="11"/>
  <c r="G135" i="11"/>
  <c r="F135" i="11"/>
  <c r="E132" i="11"/>
  <c r="J128" i="11"/>
  <c r="J82" i="11" s="1"/>
  <c r="J126" i="11"/>
  <c r="J77" i="11" s="1"/>
  <c r="I126" i="11"/>
  <c r="I77" i="11" s="1"/>
  <c r="H126" i="11"/>
  <c r="H77" i="11" s="1"/>
  <c r="G126" i="11"/>
  <c r="G77" i="11" s="1"/>
  <c r="F126" i="11"/>
  <c r="J125" i="11"/>
  <c r="I125" i="11"/>
  <c r="H125" i="11"/>
  <c r="G125" i="11"/>
  <c r="F125" i="11"/>
  <c r="E122" i="11"/>
  <c r="E121" i="11"/>
  <c r="E120" i="11"/>
  <c r="E119" i="11"/>
  <c r="E118" i="11"/>
  <c r="F117" i="11"/>
  <c r="F116" i="11"/>
  <c r="F80" i="11" s="1"/>
  <c r="F115" i="11"/>
  <c r="J114" i="11"/>
  <c r="I114" i="11"/>
  <c r="H114" i="11"/>
  <c r="G114" i="11"/>
  <c r="E113" i="11"/>
  <c r="E112" i="11"/>
  <c r="E111" i="11"/>
  <c r="E110" i="11"/>
  <c r="E109" i="11"/>
  <c r="E108" i="11"/>
  <c r="E107" i="11"/>
  <c r="F106" i="11"/>
  <c r="J105" i="11"/>
  <c r="I105" i="11"/>
  <c r="H105" i="11"/>
  <c r="G105" i="11"/>
  <c r="E104" i="11"/>
  <c r="E103" i="11"/>
  <c r="J102" i="11"/>
  <c r="I102" i="11"/>
  <c r="H102" i="11"/>
  <c r="G102" i="11"/>
  <c r="F102" i="11"/>
  <c r="E101" i="11"/>
  <c r="E100" i="11"/>
  <c r="J99" i="11"/>
  <c r="I99" i="11"/>
  <c r="H99" i="11"/>
  <c r="G99" i="11"/>
  <c r="F99" i="11"/>
  <c r="E98" i="11"/>
  <c r="E97" i="11"/>
  <c r="E96" i="11"/>
  <c r="E95" i="11"/>
  <c r="E94" i="11"/>
  <c r="E93" i="11"/>
  <c r="E89" i="11"/>
  <c r="E88" i="11"/>
  <c r="J87" i="11"/>
  <c r="I87" i="11"/>
  <c r="H87" i="11"/>
  <c r="G87" i="11"/>
  <c r="F87" i="11"/>
  <c r="E73" i="11"/>
  <c r="E72" i="11"/>
  <c r="E71" i="11"/>
  <c r="E694" i="11" s="1"/>
  <c r="E70" i="11"/>
  <c r="E69" i="11"/>
  <c r="E68" i="11"/>
  <c r="E67" i="11"/>
  <c r="E66" i="11"/>
  <c r="E65" i="11"/>
  <c r="E64" i="11"/>
  <c r="E63" i="11"/>
  <c r="E62" i="11"/>
  <c r="J61" i="11"/>
  <c r="I61" i="11"/>
  <c r="H61" i="11"/>
  <c r="G61" i="11"/>
  <c r="F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J48" i="11"/>
  <c r="I48" i="11"/>
  <c r="H48" i="11"/>
  <c r="G48" i="11"/>
  <c r="F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E832" i="11" l="1"/>
  <c r="E819" i="11" s="1"/>
  <c r="E1178" i="11"/>
  <c r="E1153" i="11"/>
  <c r="H12" i="11"/>
  <c r="H14" i="11"/>
  <c r="J14" i="11"/>
  <c r="E84" i="11"/>
  <c r="F77" i="11"/>
  <c r="E86" i="11"/>
  <c r="K117" i="11"/>
  <c r="F82" i="11"/>
  <c r="F76" i="11"/>
  <c r="F123" i="11"/>
  <c r="H76" i="11"/>
  <c r="H123" i="11"/>
  <c r="J76" i="11"/>
  <c r="J123" i="11"/>
  <c r="E76" i="11"/>
  <c r="E78" i="11"/>
  <c r="G123" i="11"/>
  <c r="G76" i="11"/>
  <c r="I123" i="11"/>
  <c r="I76" i="11"/>
  <c r="E194" i="11"/>
  <c r="E75" i="11"/>
  <c r="E566" i="11"/>
  <c r="E510" i="11"/>
  <c r="J622" i="11"/>
  <c r="J556" i="11" s="1"/>
  <c r="F840" i="11"/>
  <c r="E143" i="11"/>
  <c r="E184" i="11"/>
  <c r="E596" i="11"/>
  <c r="I317" i="11"/>
  <c r="E498" i="11"/>
  <c r="E1119" i="11"/>
  <c r="E1110" i="11" s="1"/>
  <c r="E1125" i="11"/>
  <c r="E1116" i="11" s="1"/>
  <c r="G1112" i="11"/>
  <c r="E1121" i="11"/>
  <c r="E1112" i="11" s="1"/>
  <c r="E1136" i="11"/>
  <c r="E131" i="11"/>
  <c r="E128" i="11"/>
  <c r="E123" i="11" s="1"/>
  <c r="J823" i="11"/>
  <c r="H825" i="11"/>
  <c r="J825" i="11"/>
  <c r="H827" i="11"/>
  <c r="H20" i="11" s="1"/>
  <c r="J827" i="11"/>
  <c r="J20" i="11" s="1"/>
  <c r="E983" i="11"/>
  <c r="K99" i="11"/>
  <c r="E102" i="11"/>
  <c r="H74" i="11"/>
  <c r="E139" i="11"/>
  <c r="K152" i="11"/>
  <c r="K201" i="11"/>
  <c r="K213" i="11"/>
  <c r="K219" i="11"/>
  <c r="K224" i="11"/>
  <c r="K227" i="11"/>
  <c r="K231" i="11"/>
  <c r="K234" i="11"/>
  <c r="K238" i="11"/>
  <c r="K240" i="11"/>
  <c r="K244" i="11"/>
  <c r="K257" i="11"/>
  <c r="K259" i="11"/>
  <c r="K267" i="11"/>
  <c r="K278" i="11"/>
  <c r="K288" i="11"/>
  <c r="K292" i="11"/>
  <c r="K1181" i="11"/>
  <c r="E842" i="11"/>
  <c r="K184" i="11"/>
  <c r="K194" i="11"/>
  <c r="E280" i="11"/>
  <c r="E281" i="11"/>
  <c r="K304" i="11"/>
  <c r="K307" i="11"/>
  <c r="K372" i="11"/>
  <c r="K376" i="11"/>
  <c r="K378" i="11"/>
  <c r="K381" i="11"/>
  <c r="K385" i="11"/>
  <c r="K394" i="11"/>
  <c r="K398" i="11"/>
  <c r="K428" i="11"/>
  <c r="K701" i="11"/>
  <c r="E701" i="11"/>
  <c r="K715" i="11"/>
  <c r="K917" i="11"/>
  <c r="K931" i="11"/>
  <c r="K940" i="11"/>
  <c r="K942" i="11"/>
  <c r="K957" i="11"/>
  <c r="K958" i="11"/>
  <c r="K959" i="11"/>
  <c r="K960" i="11"/>
  <c r="K961" i="11"/>
  <c r="K962" i="11"/>
  <c r="K963" i="11"/>
  <c r="K964" i="11"/>
  <c r="K965" i="11"/>
  <c r="K966" i="11"/>
  <c r="K967" i="11"/>
  <c r="K968" i="11"/>
  <c r="K986" i="11"/>
  <c r="K988" i="11"/>
  <c r="K990" i="11"/>
  <c r="K992" i="11"/>
  <c r="K994" i="11"/>
  <c r="K1008" i="11"/>
  <c r="K1020" i="11"/>
  <c r="K1124" i="11"/>
  <c r="K1126" i="11"/>
  <c r="K1136" i="11"/>
  <c r="H1135" i="11"/>
  <c r="H1122" i="11" s="1"/>
  <c r="H1113" i="11" s="1"/>
  <c r="J1135" i="11"/>
  <c r="J1122" i="11" s="1"/>
  <c r="J1113" i="11" s="1"/>
  <c r="K1139" i="11"/>
  <c r="K1154" i="11"/>
  <c r="K1156" i="11"/>
  <c r="K1158" i="11"/>
  <c r="K1160" i="11"/>
  <c r="K1162" i="11"/>
  <c r="K1164" i="11"/>
  <c r="K61" i="11"/>
  <c r="E294" i="11"/>
  <c r="K342" i="11"/>
  <c r="K347" i="11"/>
  <c r="K349" i="11"/>
  <c r="K352" i="11"/>
  <c r="K354" i="11"/>
  <c r="K361" i="11"/>
  <c r="K363" i="11"/>
  <c r="K366" i="11"/>
  <c r="K287" i="11"/>
  <c r="E547" i="11"/>
  <c r="E539" i="11" s="1"/>
  <c r="E541" i="11"/>
  <c r="K430" i="11"/>
  <c r="K432" i="11"/>
  <c r="K434" i="11"/>
  <c r="K436" i="11"/>
  <c r="K439" i="11"/>
  <c r="K462" i="11"/>
  <c r="K482" i="11"/>
  <c r="K486" i="11"/>
  <c r="K495" i="11"/>
  <c r="K509" i="11"/>
  <c r="K510" i="11"/>
  <c r="K511" i="11"/>
  <c r="K514" i="11"/>
  <c r="K515" i="11"/>
  <c r="K517" i="11"/>
  <c r="K519" i="11"/>
  <c r="K521" i="11"/>
  <c r="K523" i="11"/>
  <c r="K524" i="11"/>
  <c r="K526" i="11"/>
  <c r="K565" i="11"/>
  <c r="K567" i="11"/>
  <c r="K575" i="11"/>
  <c r="K579" i="11"/>
  <c r="K583" i="11"/>
  <c r="K587" i="11"/>
  <c r="K591" i="11"/>
  <c r="K611" i="11"/>
  <c r="K637" i="11"/>
  <c r="K642" i="11"/>
  <c r="K647" i="11"/>
  <c r="K662" i="11"/>
  <c r="K673" i="11"/>
  <c r="K687" i="11"/>
  <c r="K696" i="11"/>
  <c r="K727" i="11"/>
  <c r="E727" i="11"/>
  <c r="K763" i="11"/>
  <c r="E777" i="11"/>
  <c r="K781" i="11"/>
  <c r="K789" i="11"/>
  <c r="E789" i="11"/>
  <c r="K792" i="11"/>
  <c r="K798" i="11"/>
  <c r="E798" i="11"/>
  <c r="K806" i="11"/>
  <c r="E810" i="11"/>
  <c r="E813" i="11"/>
  <c r="K830" i="11"/>
  <c r="K836" i="11"/>
  <c r="E865" i="11"/>
  <c r="E891" i="11"/>
  <c r="E878" i="11" s="1"/>
  <c r="K905" i="11"/>
  <c r="K1069" i="11"/>
  <c r="K1071" i="11"/>
  <c r="K1077" i="11"/>
  <c r="K1079" i="11"/>
  <c r="K1087" i="11"/>
  <c r="K1089" i="11"/>
  <c r="K1091" i="11"/>
  <c r="K1093" i="11"/>
  <c r="K1095" i="11"/>
  <c r="K1097" i="11"/>
  <c r="K1101" i="11"/>
  <c r="K1121" i="11"/>
  <c r="G1135" i="11"/>
  <c r="G1122" i="11" s="1"/>
  <c r="G1113" i="11" s="1"/>
  <c r="I1135" i="11"/>
  <c r="I1122" i="11" s="1"/>
  <c r="I1113" i="11" s="1"/>
  <c r="I1109" i="11" s="1"/>
  <c r="I1108" i="11" s="1"/>
  <c r="K1137" i="11"/>
  <c r="K1138" i="11"/>
  <c r="K1165" i="11"/>
  <c r="E1165" i="11"/>
  <c r="K1178" i="11"/>
  <c r="K1183" i="11"/>
  <c r="K1185" i="11"/>
  <c r="K1187" i="11"/>
  <c r="K1192" i="11"/>
  <c r="K261" i="11"/>
  <c r="K296" i="11"/>
  <c r="K300" i="11"/>
  <c r="E282" i="11"/>
  <c r="K35" i="11"/>
  <c r="K115" i="11"/>
  <c r="K77" i="11"/>
  <c r="K125" i="11"/>
  <c r="K48" i="11"/>
  <c r="K87" i="11"/>
  <c r="K102" i="11"/>
  <c r="K116" i="11"/>
  <c r="I74" i="11"/>
  <c r="K126" i="11"/>
  <c r="K81" i="11"/>
  <c r="K135" i="11"/>
  <c r="K139" i="11"/>
  <c r="K143" i="11"/>
  <c r="K148" i="11"/>
  <c r="K181" i="11"/>
  <c r="K188" i="11"/>
  <c r="K196" i="11"/>
  <c r="K198" i="11"/>
  <c r="K204" i="11"/>
  <c r="K210" i="11"/>
  <c r="K216" i="11"/>
  <c r="K222" i="11"/>
  <c r="K236" i="11"/>
  <c r="K242" i="11"/>
  <c r="K256" i="11"/>
  <c r="K258" i="11"/>
  <c r="K260" i="11"/>
  <c r="K262" i="11"/>
  <c r="K286" i="11"/>
  <c r="K294" i="11"/>
  <c r="K298" i="11"/>
  <c r="K302" i="11"/>
  <c r="F276" i="11"/>
  <c r="K276" i="11" s="1"/>
  <c r="K340" i="11"/>
  <c r="K367" i="11"/>
  <c r="K368" i="11"/>
  <c r="K370" i="11"/>
  <c r="K374" i="11"/>
  <c r="K383" i="11"/>
  <c r="K387" i="11"/>
  <c r="K389" i="11"/>
  <c r="K392" i="11"/>
  <c r="K396" i="11"/>
  <c r="K406" i="11"/>
  <c r="E410" i="11"/>
  <c r="E402" i="11" s="1"/>
  <c r="K410" i="11"/>
  <c r="E412" i="11"/>
  <c r="E404" i="11" s="1"/>
  <c r="K412" i="11"/>
  <c r="E414" i="11"/>
  <c r="E406" i="11" s="1"/>
  <c r="K414" i="11"/>
  <c r="K416" i="11"/>
  <c r="K419" i="11"/>
  <c r="K429" i="11"/>
  <c r="K431" i="11"/>
  <c r="K433" i="11"/>
  <c r="K435" i="11"/>
  <c r="K437" i="11"/>
  <c r="K438" i="11"/>
  <c r="F427" i="11"/>
  <c r="K427" i="11" s="1"/>
  <c r="K440" i="11"/>
  <c r="F456" i="11"/>
  <c r="K456" i="11" s="1"/>
  <c r="K463" i="11"/>
  <c r="F458" i="11"/>
  <c r="K458" i="11" s="1"/>
  <c r="K465" i="11"/>
  <c r="F460" i="11"/>
  <c r="K460" i="11" s="1"/>
  <c r="K467" i="11"/>
  <c r="K498" i="11"/>
  <c r="K516" i="11"/>
  <c r="K518" i="11"/>
  <c r="K520" i="11"/>
  <c r="K522" i="11"/>
  <c r="K525" i="11"/>
  <c r="K539" i="11"/>
  <c r="K540" i="11"/>
  <c r="K541" i="11"/>
  <c r="K542" i="11"/>
  <c r="K543" i="11"/>
  <c r="K544" i="11"/>
  <c r="K545" i="11"/>
  <c r="K546" i="11"/>
  <c r="K547" i="11"/>
  <c r="K564" i="11"/>
  <c r="K566" i="11"/>
  <c r="K568" i="11"/>
  <c r="K573" i="11"/>
  <c r="K577" i="11"/>
  <c r="K581" i="11"/>
  <c r="K585" i="11"/>
  <c r="K589" i="11"/>
  <c r="K593" i="11"/>
  <c r="K597" i="11"/>
  <c r="K631" i="11"/>
  <c r="F622" i="11"/>
  <c r="K636" i="11"/>
  <c r="K641" i="11"/>
  <c r="K646" i="11"/>
  <c r="F625" i="11"/>
  <c r="K648" i="11"/>
  <c r="F627" i="11"/>
  <c r="K650" i="11"/>
  <c r="K660" i="11"/>
  <c r="K664" i="11"/>
  <c r="K666" i="11"/>
  <c r="K695" i="11"/>
  <c r="K697" i="11"/>
  <c r="K740" i="11"/>
  <c r="F750" i="11"/>
  <c r="K750" i="11" s="1"/>
  <c r="K749" i="11"/>
  <c r="E770" i="11"/>
  <c r="K784" i="11"/>
  <c r="K794" i="11"/>
  <c r="K106" i="11"/>
  <c r="K78" i="11"/>
  <c r="K82" i="11"/>
  <c r="K128" i="11"/>
  <c r="E157" i="11"/>
  <c r="E83" i="11" s="1"/>
  <c r="K157" i="11"/>
  <c r="G279" i="11"/>
  <c r="K279" i="11" s="1"/>
  <c r="K320" i="11"/>
  <c r="K331" i="11"/>
  <c r="K333" i="11"/>
  <c r="K356" i="11"/>
  <c r="K360" i="11"/>
  <c r="K362" i="11"/>
  <c r="K364" i="11"/>
  <c r="K365" i="11"/>
  <c r="E409" i="11"/>
  <c r="E401" i="11" s="1"/>
  <c r="K409" i="11"/>
  <c r="F401" i="11"/>
  <c r="K401" i="11" s="1"/>
  <c r="E411" i="11"/>
  <c r="E403" i="11" s="1"/>
  <c r="K411" i="11"/>
  <c r="E413" i="11"/>
  <c r="E405" i="11" s="1"/>
  <c r="F405" i="11"/>
  <c r="K405" i="11" s="1"/>
  <c r="K413" i="11"/>
  <c r="E415" i="11"/>
  <c r="K415" i="11"/>
  <c r="F457" i="11"/>
  <c r="K457" i="11" s="1"/>
  <c r="K464" i="11"/>
  <c r="F459" i="11"/>
  <c r="K459" i="11" s="1"/>
  <c r="K466" i="11"/>
  <c r="F624" i="11"/>
  <c r="K632" i="11"/>
  <c r="F626" i="11"/>
  <c r="K649" i="11"/>
  <c r="F628" i="11"/>
  <c r="K651" i="11"/>
  <c r="F629" i="11"/>
  <c r="K652" i="11"/>
  <c r="F820" i="11"/>
  <c r="K833" i="11"/>
  <c r="F825" i="11"/>
  <c r="K838" i="11"/>
  <c r="F827" i="11"/>
  <c r="K840" i="11"/>
  <c r="E906" i="11"/>
  <c r="E917" i="11"/>
  <c r="E904" i="11" s="1"/>
  <c r="K933" i="11"/>
  <c r="E794" i="11"/>
  <c r="K808" i="11"/>
  <c r="F822" i="11"/>
  <c r="K835" i="11"/>
  <c r="F824" i="11"/>
  <c r="K837" i="11"/>
  <c r="K839" i="11"/>
  <c r="K842" i="11"/>
  <c r="K848" i="11"/>
  <c r="K865" i="11"/>
  <c r="K879" i="11"/>
  <c r="K880" i="11"/>
  <c r="K881" i="11"/>
  <c r="K882" i="11"/>
  <c r="K883" i="11"/>
  <c r="K884" i="11"/>
  <c r="K885" i="11"/>
  <c r="K886" i="11"/>
  <c r="K887" i="11"/>
  <c r="K888" i="11"/>
  <c r="K889" i="11"/>
  <c r="K890" i="11"/>
  <c r="K891" i="11"/>
  <c r="K906" i="11"/>
  <c r="K907" i="11"/>
  <c r="K908" i="11"/>
  <c r="K909" i="11"/>
  <c r="K910" i="11"/>
  <c r="K911" i="11"/>
  <c r="K912" i="11"/>
  <c r="K913" i="11"/>
  <c r="K914" i="11"/>
  <c r="K915" i="11"/>
  <c r="K916" i="11"/>
  <c r="K932" i="11"/>
  <c r="K934" i="11"/>
  <c r="K935" i="11"/>
  <c r="K936" i="11"/>
  <c r="K937" i="11"/>
  <c r="K938" i="11"/>
  <c r="K939" i="11"/>
  <c r="K941" i="11"/>
  <c r="F930" i="11"/>
  <c r="K943" i="11"/>
  <c r="K983" i="11"/>
  <c r="K984" i="11"/>
  <c r="K985" i="11"/>
  <c r="K987" i="11"/>
  <c r="K989" i="11"/>
  <c r="K991" i="11"/>
  <c r="K993" i="11"/>
  <c r="K995" i="11"/>
  <c r="E984" i="11"/>
  <c r="E1008" i="11"/>
  <c r="E1020" i="11"/>
  <c r="K1034" i="11"/>
  <c r="K1048" i="11"/>
  <c r="K1049" i="11"/>
  <c r="K1067" i="11"/>
  <c r="K1068" i="11"/>
  <c r="K1070" i="11"/>
  <c r="K1073" i="11"/>
  <c r="K1075" i="11"/>
  <c r="F1035" i="11"/>
  <c r="K1035" i="11" s="1"/>
  <c r="K1082" i="11"/>
  <c r="E1084" i="11"/>
  <c r="E1037" i="11" s="1"/>
  <c r="K1084" i="11"/>
  <c r="K1099" i="11"/>
  <c r="K1103" i="11"/>
  <c r="K1119" i="11"/>
  <c r="F1111" i="11"/>
  <c r="K1120" i="11"/>
  <c r="F1114" i="11"/>
  <c r="K1123" i="11"/>
  <c r="F1116" i="11"/>
  <c r="K1125" i="11"/>
  <c r="K1155" i="11"/>
  <c r="K1157" i="11"/>
  <c r="K1159" i="11"/>
  <c r="K1161" i="11"/>
  <c r="K1163" i="11"/>
  <c r="K1182" i="11"/>
  <c r="K1184" i="11"/>
  <c r="K1186" i="11"/>
  <c r="F864" i="11"/>
  <c r="K863" i="11"/>
  <c r="F956" i="11"/>
  <c r="K969" i="11"/>
  <c r="K1036" i="11"/>
  <c r="F1062" i="11"/>
  <c r="K1062" i="11" s="1"/>
  <c r="K1061" i="11"/>
  <c r="E1083" i="11"/>
  <c r="E1036" i="11" s="1"/>
  <c r="K1083" i="11"/>
  <c r="F1038" i="11"/>
  <c r="K1085" i="11"/>
  <c r="F1202" i="11"/>
  <c r="K1202" i="11" s="1"/>
  <c r="K1201" i="11"/>
  <c r="K191" i="11"/>
  <c r="E90" i="11"/>
  <c r="K23" i="11"/>
  <c r="K24" i="11"/>
  <c r="K26" i="11"/>
  <c r="K28" i="11"/>
  <c r="K30" i="11"/>
  <c r="K32" i="11"/>
  <c r="K34" i="11"/>
  <c r="K25" i="11"/>
  <c r="K27" i="11"/>
  <c r="K29" i="11"/>
  <c r="K31" i="11"/>
  <c r="K33" i="11"/>
  <c r="E48" i="11"/>
  <c r="F692" i="11"/>
  <c r="H692" i="11"/>
  <c r="J692" i="11"/>
  <c r="E697" i="11"/>
  <c r="E693" i="11"/>
  <c r="E148" i="11"/>
  <c r="E277" i="11"/>
  <c r="E278" i="11"/>
  <c r="E283" i="11"/>
  <c r="G692" i="11"/>
  <c r="I692" i="11"/>
  <c r="F817" i="11"/>
  <c r="E35" i="11"/>
  <c r="E336" i="11"/>
  <c r="E763" i="11"/>
  <c r="E757" i="11"/>
  <c r="E758" i="11"/>
  <c r="E759" i="11"/>
  <c r="E834" i="11"/>
  <c r="E821" i="11" s="1"/>
  <c r="E684" i="11"/>
  <c r="E781" i="11"/>
  <c r="E756" i="11"/>
  <c r="E786" i="11"/>
  <c r="J819" i="11"/>
  <c r="J12" i="11" s="1"/>
  <c r="E830" i="11"/>
  <c r="E831" i="11"/>
  <c r="E833" i="11"/>
  <c r="E820" i="11" s="1"/>
  <c r="H818" i="11"/>
  <c r="I623" i="11"/>
  <c r="I557" i="11" s="1"/>
  <c r="H817" i="11"/>
  <c r="H10" i="11" s="1"/>
  <c r="G823" i="11"/>
  <c r="G825" i="11"/>
  <c r="I825" i="11"/>
  <c r="F826" i="11"/>
  <c r="G827" i="11"/>
  <c r="G20" i="11" s="1"/>
  <c r="I827" i="11"/>
  <c r="I20" i="11" s="1"/>
  <c r="G818" i="11"/>
  <c r="I818" i="11"/>
  <c r="G821" i="11"/>
  <c r="I821" i="11"/>
  <c r="I14" i="11" s="1"/>
  <c r="E454" i="11"/>
  <c r="E61" i="11"/>
  <c r="E99" i="11"/>
  <c r="E825" i="11"/>
  <c r="F1037" i="11"/>
  <c r="K1037" i="11" s="1"/>
  <c r="E468" i="11"/>
  <c r="E135" i="11"/>
  <c r="E482" i="11"/>
  <c r="E486" i="11"/>
  <c r="H1043" i="11"/>
  <c r="F461" i="11"/>
  <c r="H461" i="11"/>
  <c r="J461" i="11"/>
  <c r="E475" i="11"/>
  <c r="H822" i="11"/>
  <c r="H828" i="11"/>
  <c r="G461" i="11"/>
  <c r="I461" i="11"/>
  <c r="I1066" i="11"/>
  <c r="I1180" i="11"/>
  <c r="H595" i="11"/>
  <c r="E715" i="11"/>
  <c r="H824" i="11"/>
  <c r="H826" i="11"/>
  <c r="H19" i="11" s="1"/>
  <c r="F105" i="11"/>
  <c r="K105" i="11" s="1"/>
  <c r="F114" i="11"/>
  <c r="K114" i="11" s="1"/>
  <c r="F255" i="11"/>
  <c r="E333" i="11"/>
  <c r="H358" i="11"/>
  <c r="E361" i="11"/>
  <c r="E378" i="11"/>
  <c r="F402" i="11"/>
  <c r="K402" i="11" s="1"/>
  <c r="E464" i="11"/>
  <c r="E457" i="11" s="1"/>
  <c r="E466" i="11"/>
  <c r="E459" i="11" s="1"/>
  <c r="E597" i="11"/>
  <c r="F719" i="11"/>
  <c r="G820" i="11"/>
  <c r="I820" i="11"/>
  <c r="G822" i="11"/>
  <c r="I822" i="11"/>
  <c r="G824" i="11"/>
  <c r="G17" i="11" s="1"/>
  <c r="I824" i="11"/>
  <c r="I17" i="11" s="1"/>
  <c r="G826" i="11"/>
  <c r="I826" i="11"/>
  <c r="G828" i="11"/>
  <c r="I828" i="11"/>
  <c r="H1152" i="11"/>
  <c r="E1157" i="11"/>
  <c r="E1186" i="11"/>
  <c r="F595" i="11"/>
  <c r="J595" i="11"/>
  <c r="E611" i="11"/>
  <c r="F721" i="11"/>
  <c r="K721" i="11" s="1"/>
  <c r="J829" i="11"/>
  <c r="G1066" i="11"/>
  <c r="G595" i="11"/>
  <c r="I595" i="11"/>
  <c r="K717" i="11"/>
  <c r="J818" i="11"/>
  <c r="E985" i="11"/>
  <c r="E988" i="11"/>
  <c r="E1086" i="11"/>
  <c r="E1039" i="11" s="1"/>
  <c r="F1039" i="11"/>
  <c r="G1180" i="11"/>
  <c r="E1182" i="11"/>
  <c r="E1184" i="11"/>
  <c r="E360" i="11"/>
  <c r="E1079" i="11"/>
  <c r="G1081" i="11"/>
  <c r="H829" i="11"/>
  <c r="E1085" i="11"/>
  <c r="E1038" i="11" s="1"/>
  <c r="E152" i="11"/>
  <c r="E231" i="11"/>
  <c r="F404" i="11"/>
  <c r="K404" i="11" s="1"/>
  <c r="J630" i="11"/>
  <c r="F640" i="11"/>
  <c r="J640" i="11"/>
  <c r="H645" i="11"/>
  <c r="E687" i="11"/>
  <c r="J817" i="11"/>
  <c r="I829" i="11"/>
  <c r="F1066" i="11"/>
  <c r="H1066" i="11"/>
  <c r="F1081" i="11"/>
  <c r="H1081" i="11"/>
  <c r="E1155" i="11"/>
  <c r="E827" i="11"/>
  <c r="I823" i="11"/>
  <c r="H820" i="11"/>
  <c r="H13" i="11" s="1"/>
  <c r="J820" i="11"/>
  <c r="J13" i="11" s="1"/>
  <c r="J822" i="11"/>
  <c r="J824" i="11"/>
  <c r="J17" i="11" s="1"/>
  <c r="J826" i="11"/>
  <c r="J828" i="11"/>
  <c r="E943" i="11"/>
  <c r="E930" i="11" s="1"/>
  <c r="E989" i="11"/>
  <c r="E940" i="11"/>
  <c r="E826" i="11" s="1"/>
  <c r="F1046" i="11"/>
  <c r="G400" i="11"/>
  <c r="E440" i="11"/>
  <c r="E427" i="11" s="1"/>
  <c r="E822" i="11"/>
  <c r="E823" i="11"/>
  <c r="J1046" i="11"/>
  <c r="E32" i="11"/>
  <c r="E87" i="11"/>
  <c r="H255" i="11"/>
  <c r="J255" i="11"/>
  <c r="E407" i="11"/>
  <c r="E419" i="11"/>
  <c r="E429" i="11"/>
  <c r="I513" i="11"/>
  <c r="E568" i="11"/>
  <c r="E28" i="11"/>
  <c r="H630" i="11"/>
  <c r="H823" i="11"/>
  <c r="E992" i="11"/>
  <c r="E993" i="11"/>
  <c r="H22" i="11"/>
  <c r="J22" i="11"/>
  <c r="I22" i="11"/>
  <c r="G635" i="11"/>
  <c r="I635" i="11"/>
  <c r="J1043" i="11"/>
  <c r="G622" i="11"/>
  <c r="G556" i="11" s="1"/>
  <c r="E824" i="11"/>
  <c r="F823" i="11"/>
  <c r="E106" i="11"/>
  <c r="E105" i="11" s="1"/>
  <c r="E115" i="11"/>
  <c r="E77" i="11" s="1"/>
  <c r="E117" i="11"/>
  <c r="E82" i="11" s="1"/>
  <c r="E216" i="11"/>
  <c r="H275" i="11"/>
  <c r="E349" i="11"/>
  <c r="E354" i="11"/>
  <c r="G557" i="11"/>
  <c r="G513" i="11"/>
  <c r="F630" i="11"/>
  <c r="F623" i="11"/>
  <c r="H623" i="11"/>
  <c r="H557" i="11" s="1"/>
  <c r="J623" i="11"/>
  <c r="J557" i="11" s="1"/>
  <c r="E623" i="11"/>
  <c r="H635" i="11"/>
  <c r="H640" i="11"/>
  <c r="F645" i="11"/>
  <c r="J645" i="11"/>
  <c r="G645" i="11"/>
  <c r="I645" i="11"/>
  <c r="K718" i="11"/>
  <c r="F720" i="11"/>
  <c r="K720" i="11" s="1"/>
  <c r="G817" i="11"/>
  <c r="I817" i="11"/>
  <c r="I10" i="11" s="1"/>
  <c r="J982" i="11"/>
  <c r="E986" i="11"/>
  <c r="E987" i="11"/>
  <c r="E990" i="11"/>
  <c r="E991" i="11"/>
  <c r="E994" i="11"/>
  <c r="H1041" i="11"/>
  <c r="H1046" i="11"/>
  <c r="E1161" i="11"/>
  <c r="E1163" i="11"/>
  <c r="G22" i="11"/>
  <c r="E24" i="11"/>
  <c r="E25" i="11"/>
  <c r="E26" i="11"/>
  <c r="E27" i="11"/>
  <c r="E29" i="11"/>
  <c r="E30" i="11"/>
  <c r="E31" i="11"/>
  <c r="E33" i="11"/>
  <c r="E34" i="11"/>
  <c r="E181" i="11"/>
  <c r="E188" i="11"/>
  <c r="E201" i="11"/>
  <c r="E210" i="11"/>
  <c r="E219" i="11"/>
  <c r="E227" i="11"/>
  <c r="G255" i="11"/>
  <c r="I255" i="11"/>
  <c r="E256" i="11"/>
  <c r="E320" i="11"/>
  <c r="E279" i="11" s="1"/>
  <c r="J358" i="11"/>
  <c r="H400" i="11"/>
  <c r="J400" i="11"/>
  <c r="I400" i="11"/>
  <c r="F403" i="11"/>
  <c r="K403" i="11" s="1"/>
  <c r="F407" i="11"/>
  <c r="K407" i="11" s="1"/>
  <c r="F513" i="11"/>
  <c r="H513" i="11"/>
  <c r="J513" i="11"/>
  <c r="E526" i="11"/>
  <c r="E563" i="11"/>
  <c r="G630" i="11"/>
  <c r="I630" i="11"/>
  <c r="F635" i="11"/>
  <c r="J635" i="11"/>
  <c r="G640" i="11"/>
  <c r="I640" i="11"/>
  <c r="E561" i="11"/>
  <c r="E666" i="11"/>
  <c r="E745" i="11"/>
  <c r="E747" i="11"/>
  <c r="E749" i="11"/>
  <c r="F982" i="11"/>
  <c r="J1118" i="11"/>
  <c r="J1109" i="11" s="1"/>
  <c r="E1123" i="11"/>
  <c r="E1114" i="11" s="1"/>
  <c r="E1141" i="11"/>
  <c r="E1143" i="11"/>
  <c r="I1152" i="11"/>
  <c r="J1152" i="11"/>
  <c r="E1159" i="11"/>
  <c r="I275" i="11"/>
  <c r="H453" i="11"/>
  <c r="E23" i="11"/>
  <c r="E198" i="11"/>
  <c r="E204" i="11"/>
  <c r="E213" i="11"/>
  <c r="E267" i="11"/>
  <c r="J317" i="11"/>
  <c r="E342" i="11"/>
  <c r="F358" i="11"/>
  <c r="G358" i="11"/>
  <c r="E362" i="11"/>
  <c r="E389" i="11"/>
  <c r="F408" i="11"/>
  <c r="K408" i="11" s="1"/>
  <c r="E416" i="11"/>
  <c r="E622" i="11"/>
  <c r="J453" i="11"/>
  <c r="E462" i="11"/>
  <c r="E455" i="11" s="1"/>
  <c r="G453" i="11"/>
  <c r="I453" i="11"/>
  <c r="E495" i="11"/>
  <c r="E564" i="11"/>
  <c r="G624" i="11"/>
  <c r="I624" i="11"/>
  <c r="E635" i="11"/>
  <c r="E640" i="11"/>
  <c r="E645" i="11"/>
  <c r="E560" i="11"/>
  <c r="E562" i="11"/>
  <c r="E625" i="11"/>
  <c r="E559" i="11" s="1"/>
  <c r="E673" i="11"/>
  <c r="H982" i="11"/>
  <c r="E995" i="11"/>
  <c r="F1203" i="11"/>
  <c r="G982" i="11"/>
  <c r="I982" i="11"/>
  <c r="F1041" i="11"/>
  <c r="E1046" i="11"/>
  <c r="E1061" i="11"/>
  <c r="G1110" i="11"/>
  <c r="K1110" i="11" s="1"/>
  <c r="H1111" i="11"/>
  <c r="J1111" i="11"/>
  <c r="F1112" i="11"/>
  <c r="K1112" i="11" s="1"/>
  <c r="F1152" i="11"/>
  <c r="H1180" i="11"/>
  <c r="J1180" i="11"/>
  <c r="E1201" i="11"/>
  <c r="G1046" i="11"/>
  <c r="I1046" i="11"/>
  <c r="J275" i="11"/>
  <c r="F22" i="11"/>
  <c r="E116" i="11"/>
  <c r="E80" i="11" s="1"/>
  <c r="H155" i="11"/>
  <c r="K155" i="11" s="1"/>
  <c r="E257" i="11"/>
  <c r="G317" i="11"/>
  <c r="I358" i="11"/>
  <c r="E630" i="11"/>
  <c r="E624" i="11"/>
  <c r="E558" i="11" s="1"/>
  <c r="E515" i="11"/>
  <c r="E513" i="11" s="1"/>
  <c r="G714" i="11"/>
  <c r="E744" i="11"/>
  <c r="E746" i="11"/>
  <c r="E748" i="11"/>
  <c r="G1063" i="11"/>
  <c r="G1064" i="11" s="1"/>
  <c r="G1065" i="11" s="1"/>
  <c r="G1042" i="11"/>
  <c r="I1063" i="11"/>
  <c r="I1064" i="11" s="1"/>
  <c r="I1065" i="11" s="1"/>
  <c r="I1042" i="11"/>
  <c r="F1042" i="11"/>
  <c r="H1042" i="11"/>
  <c r="H1063" i="11"/>
  <c r="H1064" i="11" s="1"/>
  <c r="H1065" i="11" s="1"/>
  <c r="J1042" i="11"/>
  <c r="J1063" i="11"/>
  <c r="J1064" i="11" s="1"/>
  <c r="J1065" i="11" s="1"/>
  <c r="G829" i="11"/>
  <c r="F878" i="11"/>
  <c r="K878" i="11" s="1"/>
  <c r="E879" i="11"/>
  <c r="F904" i="11"/>
  <c r="K904" i="11" s="1"/>
  <c r="G930" i="11"/>
  <c r="G956" i="11"/>
  <c r="G1043" i="11"/>
  <c r="I1043" i="11"/>
  <c r="J1066" i="11"/>
  <c r="E1067" i="11"/>
  <c r="E1069" i="11"/>
  <c r="J1081" i="11"/>
  <c r="E1082" i="11"/>
  <c r="E1035" i="11" s="1"/>
  <c r="E1120" i="11"/>
  <c r="E1111" i="11" s="1"/>
  <c r="F1113" i="11"/>
  <c r="G1114" i="11"/>
  <c r="F1115" i="11"/>
  <c r="K1115" i="11" s="1"/>
  <c r="G1116" i="11"/>
  <c r="F1117" i="11"/>
  <c r="K1117" i="11" s="1"/>
  <c r="E1124" i="11"/>
  <c r="E1115" i="11" s="1"/>
  <c r="E1126" i="11"/>
  <c r="E1117" i="11" s="1"/>
  <c r="F1135" i="11"/>
  <c r="E1140" i="11"/>
  <c r="E1142" i="11"/>
  <c r="G1152" i="11"/>
  <c r="E1154" i="11"/>
  <c r="E1156" i="11"/>
  <c r="E1158" i="11"/>
  <c r="E1160" i="11"/>
  <c r="E1162" i="11"/>
  <c r="E1164" i="11"/>
  <c r="E1183" i="11"/>
  <c r="E1185" i="11"/>
  <c r="E1187" i="11"/>
  <c r="I11" i="11" l="1"/>
  <c r="J10" i="11"/>
  <c r="J11" i="11"/>
  <c r="H11" i="11"/>
  <c r="G10" i="11"/>
  <c r="G11" i="11"/>
  <c r="E1202" i="11"/>
  <c r="I18" i="11"/>
  <c r="J74" i="11"/>
  <c r="J19" i="11"/>
  <c r="I19" i="11"/>
  <c r="G19" i="11"/>
  <c r="H17" i="11"/>
  <c r="G14" i="11"/>
  <c r="G18" i="11"/>
  <c r="J18" i="11"/>
  <c r="H18" i="11"/>
  <c r="E74" i="11"/>
  <c r="I13" i="11"/>
  <c r="E818" i="11"/>
  <c r="E755" i="11"/>
  <c r="K1135" i="11"/>
  <c r="E1122" i="11"/>
  <c r="E1113" i="11" s="1"/>
  <c r="E1109" i="11" s="1"/>
  <c r="I1118" i="11"/>
  <c r="F1063" i="11"/>
  <c r="K1063" i="11" s="1"/>
  <c r="E1062" i="11"/>
  <c r="E1042" i="11" s="1"/>
  <c r="F1188" i="11"/>
  <c r="K1188" i="11" s="1"/>
  <c r="F751" i="11"/>
  <c r="F752" i="11" s="1"/>
  <c r="E155" i="11"/>
  <c r="K1113" i="11"/>
  <c r="E750" i="11"/>
  <c r="F722" i="11"/>
  <c r="K722" i="11" s="1"/>
  <c r="G275" i="11"/>
  <c r="H1118" i="11"/>
  <c r="G1118" i="11"/>
  <c r="F275" i="11"/>
  <c r="K1122" i="11"/>
  <c r="E408" i="11"/>
  <c r="F453" i="11"/>
  <c r="K453" i="11" s="1"/>
  <c r="E692" i="11"/>
  <c r="K719" i="11"/>
  <c r="K818" i="11"/>
  <c r="K317" i="11"/>
  <c r="F1118" i="11"/>
  <c r="K1042" i="11"/>
  <c r="E718" i="11"/>
  <c r="K1041" i="11"/>
  <c r="E557" i="11"/>
  <c r="E11" i="11" s="1"/>
  <c r="E721" i="11"/>
  <c r="E16" i="11" s="1"/>
  <c r="K1152" i="11"/>
  <c r="K982" i="11"/>
  <c r="E317" i="11"/>
  <c r="F1204" i="11"/>
  <c r="K1204" i="11" s="1"/>
  <c r="K1203" i="11"/>
  <c r="K358" i="11"/>
  <c r="K635" i="11"/>
  <c r="K645" i="11"/>
  <c r="F557" i="11"/>
  <c r="K557" i="11" s="1"/>
  <c r="K623" i="11"/>
  <c r="K823" i="11"/>
  <c r="K1046" i="11"/>
  <c r="K1081" i="11"/>
  <c r="K1066" i="11"/>
  <c r="K640" i="11"/>
  <c r="K716" i="11"/>
  <c r="K255" i="11"/>
  <c r="K461" i="11"/>
  <c r="K826" i="11"/>
  <c r="K817" i="11"/>
  <c r="K956" i="11"/>
  <c r="K864" i="11"/>
  <c r="F852" i="11"/>
  <c r="K852" i="11" s="1"/>
  <c r="F841" i="11"/>
  <c r="E864" i="11"/>
  <c r="K1111" i="11"/>
  <c r="K824" i="11"/>
  <c r="K822" i="11"/>
  <c r="F563" i="11"/>
  <c r="K563" i="11" s="1"/>
  <c r="K629" i="11"/>
  <c r="F562" i="11"/>
  <c r="F16" i="11" s="1"/>
  <c r="K628" i="11"/>
  <c r="F560" i="11"/>
  <c r="F14" i="11" s="1"/>
  <c r="K626" i="11"/>
  <c r="F558" i="11"/>
  <c r="F12" i="11" s="1"/>
  <c r="K624" i="11"/>
  <c r="K80" i="11"/>
  <c r="K76" i="11"/>
  <c r="F74" i="11"/>
  <c r="G13" i="11"/>
  <c r="K123" i="11"/>
  <c r="K513" i="11"/>
  <c r="K630" i="11"/>
  <c r="K595" i="11"/>
  <c r="K455" i="11"/>
  <c r="K692" i="11"/>
  <c r="K1116" i="11"/>
  <c r="K1114" i="11"/>
  <c r="K930" i="11"/>
  <c r="K821" i="11"/>
  <c r="K819" i="11"/>
  <c r="K827" i="11"/>
  <c r="K825" i="11"/>
  <c r="K820" i="11"/>
  <c r="F561" i="11"/>
  <c r="F15" i="11" s="1"/>
  <c r="K627" i="11"/>
  <c r="F559" i="11"/>
  <c r="K559" i="11" s="1"/>
  <c r="K625" i="11"/>
  <c r="F556" i="11"/>
  <c r="F10" i="11" s="1"/>
  <c r="K622" i="11"/>
  <c r="G74" i="11"/>
  <c r="H816" i="11"/>
  <c r="E275" i="11"/>
  <c r="E719" i="11"/>
  <c r="E14" i="11" s="1"/>
  <c r="F621" i="11"/>
  <c r="J621" i="11"/>
  <c r="E556" i="11"/>
  <c r="E817" i="11"/>
  <c r="I816" i="11"/>
  <c r="E358" i="11"/>
  <c r="E720" i="11"/>
  <c r="E15" i="11" s="1"/>
  <c r="H621" i="11"/>
  <c r="J816" i="11"/>
  <c r="E717" i="11"/>
  <c r="E12" i="11" s="1"/>
  <c r="E255" i="11"/>
  <c r="E400" i="11"/>
  <c r="F1189" i="11"/>
  <c r="E461" i="11"/>
  <c r="E22" i="11"/>
  <c r="G816" i="11"/>
  <c r="E1135" i="11"/>
  <c r="E751" i="11"/>
  <c r="H555" i="11"/>
  <c r="I1107" i="11"/>
  <c r="I1040" i="11"/>
  <c r="I16" i="11" s="1"/>
  <c r="E595" i="11"/>
  <c r="J1108" i="11"/>
  <c r="E1041" i="11"/>
  <c r="E982" i="11"/>
  <c r="E1203" i="11"/>
  <c r="G1053" i="11"/>
  <c r="F400" i="11"/>
  <c r="K400" i="11" s="1"/>
  <c r="E1152" i="11"/>
  <c r="I1053" i="11"/>
  <c r="H1109" i="11"/>
  <c r="H1108" i="11" s="1"/>
  <c r="G621" i="11"/>
  <c r="G558" i="11"/>
  <c r="G12" i="11" s="1"/>
  <c r="J555" i="11"/>
  <c r="I621" i="11"/>
  <c r="I558" i="11"/>
  <c r="I12" i="11" s="1"/>
  <c r="E1204" i="11"/>
  <c r="F1109" i="11"/>
  <c r="E1081" i="11"/>
  <c r="H1053" i="11"/>
  <c r="E114" i="11"/>
  <c r="G1109" i="11"/>
  <c r="G1108" i="11" s="1"/>
  <c r="E1066" i="11"/>
  <c r="J1053" i="11"/>
  <c r="F1064" i="11"/>
  <c r="K1064" i="11" s="1"/>
  <c r="E621" i="11"/>
  <c r="F723" i="11" l="1"/>
  <c r="F18" i="11" s="1"/>
  <c r="E10" i="11"/>
  <c r="E722" i="11"/>
  <c r="E17" i="11" s="1"/>
  <c r="K751" i="11"/>
  <c r="F11" i="11"/>
  <c r="K11" i="11" s="1"/>
  <c r="L11" i="11" s="1"/>
  <c r="K752" i="11"/>
  <c r="E752" i="11"/>
  <c r="F17" i="11"/>
  <c r="K17" i="11" s="1"/>
  <c r="K275" i="11"/>
  <c r="K1118" i="11"/>
  <c r="E1063" i="11"/>
  <c r="E1043" i="11" s="1"/>
  <c r="E1118" i="11"/>
  <c r="E1188" i="11"/>
  <c r="F724" i="11"/>
  <c r="F1043" i="11"/>
  <c r="K1043" i="11" s="1"/>
  <c r="F753" i="11"/>
  <c r="K753" i="11" s="1"/>
  <c r="F1190" i="11"/>
  <c r="K1190" i="11" s="1"/>
  <c r="F1205" i="11"/>
  <c r="K1205" i="11" s="1"/>
  <c r="K1109" i="11"/>
  <c r="K558" i="11"/>
  <c r="K12" i="11"/>
  <c r="L12" i="11" s="1"/>
  <c r="E1189" i="11"/>
  <c r="K1189" i="11"/>
  <c r="K723" i="11"/>
  <c r="K18" i="11"/>
  <c r="K560" i="11"/>
  <c r="K14" i="11"/>
  <c r="L14" i="11" s="1"/>
  <c r="K562" i="11"/>
  <c r="K1108" i="11"/>
  <c r="E723" i="11"/>
  <c r="E18" i="11" s="1"/>
  <c r="F555" i="11"/>
  <c r="K621" i="11"/>
  <c r="K74" i="11"/>
  <c r="K556" i="11"/>
  <c r="K10" i="11"/>
  <c r="K561" i="11"/>
  <c r="K841" i="11"/>
  <c r="F828" i="11"/>
  <c r="F829" i="11"/>
  <c r="K829" i="11" s="1"/>
  <c r="F13" i="11"/>
  <c r="K13" i="11" s="1"/>
  <c r="E841" i="11"/>
  <c r="E852" i="11"/>
  <c r="E13" i="11"/>
  <c r="E453" i="11"/>
  <c r="E555" i="11"/>
  <c r="I1106" i="11"/>
  <c r="I1039" i="11"/>
  <c r="I15" i="11" s="1"/>
  <c r="G1107" i="11"/>
  <c r="G1040" i="11"/>
  <c r="G16" i="11" s="1"/>
  <c r="H1107" i="11"/>
  <c r="H1040" i="11"/>
  <c r="H16" i="11" s="1"/>
  <c r="J1107" i="11"/>
  <c r="J1040" i="11"/>
  <c r="J16" i="11" s="1"/>
  <c r="G555" i="11"/>
  <c r="I555" i="11"/>
  <c r="E753" i="11"/>
  <c r="E1064" i="11"/>
  <c r="E1044" i="11" s="1"/>
  <c r="F1065" i="11"/>
  <c r="K1065" i="11" s="1"/>
  <c r="F1044" i="11"/>
  <c r="K1044" i="11" s="1"/>
  <c r="E1190" i="11"/>
  <c r="L13" i="11" l="1"/>
  <c r="L10" i="11"/>
  <c r="L17" i="11"/>
  <c r="F19" i="11"/>
  <c r="K19" i="11" s="1"/>
  <c r="E1205" i="11"/>
  <c r="E1194" i="11" s="1"/>
  <c r="L18" i="11"/>
  <c r="K724" i="11"/>
  <c r="F1194" i="11"/>
  <c r="K1194" i="11" s="1"/>
  <c r="F725" i="11"/>
  <c r="F20" i="11" s="1"/>
  <c r="K20" i="11" s="1"/>
  <c r="F754" i="11"/>
  <c r="K754" i="11" s="1"/>
  <c r="F1191" i="11"/>
  <c r="K1191" i="11" s="1"/>
  <c r="E724" i="11"/>
  <c r="E19" i="11" s="1"/>
  <c r="F1180" i="11"/>
  <c r="K1180" i="11" s="1"/>
  <c r="F743" i="11"/>
  <c r="K743" i="11" s="1"/>
  <c r="K725" i="11"/>
  <c r="K1107" i="11"/>
  <c r="E828" i="11"/>
  <c r="E816" i="11" s="1"/>
  <c r="E829" i="11"/>
  <c r="K1040" i="11"/>
  <c r="K16" i="11"/>
  <c r="L16" i="11" s="1"/>
  <c r="K828" i="11"/>
  <c r="F816" i="11"/>
  <c r="K816" i="11" s="1"/>
  <c r="K555" i="11"/>
  <c r="J1106" i="11"/>
  <c r="J1039" i="11"/>
  <c r="J15" i="11" s="1"/>
  <c r="H1106" i="11"/>
  <c r="H1039" i="11"/>
  <c r="H15" i="11" s="1"/>
  <c r="G1106" i="11"/>
  <c r="K1106" i="11" s="1"/>
  <c r="G1039" i="11"/>
  <c r="G15" i="11" s="1"/>
  <c r="I1105" i="11"/>
  <c r="I1038" i="11"/>
  <c r="E1065" i="11"/>
  <c r="E1053" i="11" s="1"/>
  <c r="F1045" i="11"/>
  <c r="E1045" i="11" s="1"/>
  <c r="E1033" i="11" s="1"/>
  <c r="F1053" i="11"/>
  <c r="K1053" i="11" s="1"/>
  <c r="F726" i="11"/>
  <c r="E754" i="11"/>
  <c r="E743" i="11" s="1"/>
  <c r="L19" i="11" l="1"/>
  <c r="E1191" i="11"/>
  <c r="E1180" i="11" s="1"/>
  <c r="E725" i="11"/>
  <c r="E20" i="11" s="1"/>
  <c r="L20" i="11" s="1"/>
  <c r="F714" i="11"/>
  <c r="F21" i="11"/>
  <c r="F9" i="11" s="1"/>
  <c r="K714" i="11"/>
  <c r="K726" i="11"/>
  <c r="K1039" i="11"/>
  <c r="G1105" i="11"/>
  <c r="G1038" i="11"/>
  <c r="H1105" i="11"/>
  <c r="H1038" i="11"/>
  <c r="J1105" i="11"/>
  <c r="J1038" i="11"/>
  <c r="E726" i="11"/>
  <c r="F1033" i="11"/>
  <c r="E21" i="11" l="1"/>
  <c r="E714" i="11"/>
  <c r="K15" i="11"/>
  <c r="K1038" i="11"/>
  <c r="K1105" i="11"/>
  <c r="E9" i="11"/>
  <c r="L15" i="11" l="1"/>
  <c r="D661" i="3"/>
  <c r="D660" i="3"/>
  <c r="D659" i="3"/>
  <c r="I658" i="3"/>
  <c r="H658" i="3"/>
  <c r="G658" i="3"/>
  <c r="F658" i="3"/>
  <c r="E658" i="3"/>
  <c r="H657" i="3"/>
  <c r="D657" i="3" s="1"/>
  <c r="H656" i="3"/>
  <c r="H624" i="3" s="1"/>
  <c r="H560" i="3" s="1"/>
  <c r="H556" i="3" s="1"/>
  <c r="H655" i="3"/>
  <c r="D655" i="3" s="1"/>
  <c r="I654" i="3"/>
  <c r="G654" i="3"/>
  <c r="F654" i="3"/>
  <c r="E654" i="3"/>
  <c r="D653" i="3"/>
  <c r="D652" i="3"/>
  <c r="D651" i="3"/>
  <c r="I650" i="3"/>
  <c r="H650" i="3"/>
  <c r="G650" i="3"/>
  <c r="F650" i="3"/>
  <c r="E650" i="3"/>
  <c r="D649" i="3"/>
  <c r="D648" i="3"/>
  <c r="D647" i="3"/>
  <c r="I646" i="3"/>
  <c r="H646" i="3"/>
  <c r="G646" i="3"/>
  <c r="F646" i="3"/>
  <c r="E646" i="3"/>
  <c r="D645" i="3"/>
  <c r="D644" i="3"/>
  <c r="D643" i="3"/>
  <c r="I642" i="3"/>
  <c r="H642" i="3"/>
  <c r="G642" i="3"/>
  <c r="F642" i="3"/>
  <c r="E642" i="3"/>
  <c r="D641" i="3"/>
  <c r="D640" i="3"/>
  <c r="D639" i="3"/>
  <c r="I638" i="3"/>
  <c r="H638" i="3"/>
  <c r="G638" i="3"/>
  <c r="F638" i="3"/>
  <c r="E638" i="3"/>
  <c r="D637" i="3"/>
  <c r="D636" i="3"/>
  <c r="D635" i="3"/>
  <c r="I634" i="3"/>
  <c r="H634" i="3"/>
  <c r="G634" i="3"/>
  <c r="F634" i="3"/>
  <c r="E634" i="3"/>
  <c r="G633" i="3"/>
  <c r="G632" i="3"/>
  <c r="D632" i="3" s="1"/>
  <c r="G631" i="3"/>
  <c r="I630" i="3"/>
  <c r="H630" i="3"/>
  <c r="F630" i="3"/>
  <c r="E630" i="3"/>
  <c r="G629" i="3"/>
  <c r="D629" i="3" s="1"/>
  <c r="G628" i="3"/>
  <c r="G627" i="3"/>
  <c r="D627" i="3" s="1"/>
  <c r="I626" i="3"/>
  <c r="H626" i="3"/>
  <c r="F626" i="3"/>
  <c r="E626" i="3"/>
  <c r="I625" i="3"/>
  <c r="F625" i="3"/>
  <c r="E625" i="3"/>
  <c r="I624" i="3"/>
  <c r="I560" i="3" s="1"/>
  <c r="I556" i="3" s="1"/>
  <c r="F624" i="3"/>
  <c r="E624" i="3"/>
  <c r="I623" i="3"/>
  <c r="F623" i="3"/>
  <c r="F559" i="3" s="1"/>
  <c r="F555" i="3" s="1"/>
  <c r="E623" i="3"/>
  <c r="I619" i="3"/>
  <c r="D619" i="3" s="1"/>
  <c r="H618" i="3"/>
  <c r="G618" i="3"/>
  <c r="F618" i="3"/>
  <c r="E618" i="3"/>
  <c r="G617" i="3"/>
  <c r="D617" i="3" s="1"/>
  <c r="G616" i="3"/>
  <c r="G615" i="3"/>
  <c r="D615" i="3" s="1"/>
  <c r="I614" i="3"/>
  <c r="H614" i="3"/>
  <c r="F614" i="3"/>
  <c r="E614" i="3"/>
  <c r="G613" i="3"/>
  <c r="D613" i="3" s="1"/>
  <c r="G612" i="3"/>
  <c r="D612" i="3" s="1"/>
  <c r="G611" i="3"/>
  <c r="I610" i="3"/>
  <c r="H610" i="3"/>
  <c r="F610" i="3"/>
  <c r="E610" i="3"/>
  <c r="G609" i="3"/>
  <c r="D609" i="3" s="1"/>
  <c r="G608" i="3"/>
  <c r="D608" i="3" s="1"/>
  <c r="G607" i="3"/>
  <c r="I606" i="3"/>
  <c r="H606" i="3"/>
  <c r="F606" i="3"/>
  <c r="E606" i="3"/>
  <c r="G605" i="3"/>
  <c r="G604" i="3"/>
  <c r="D604" i="3" s="1"/>
  <c r="G603" i="3"/>
  <c r="D603" i="3" s="1"/>
  <c r="I602" i="3"/>
  <c r="H602" i="3"/>
  <c r="F602" i="3"/>
  <c r="E602" i="3"/>
  <c r="E601" i="3"/>
  <c r="D601" i="3" s="1"/>
  <c r="E600" i="3"/>
  <c r="E599" i="3"/>
  <c r="D599" i="3" s="1"/>
  <c r="I598" i="3"/>
  <c r="H598" i="3"/>
  <c r="G598" i="3"/>
  <c r="F598" i="3"/>
  <c r="E597" i="3"/>
  <c r="D597" i="3" s="1"/>
  <c r="E596" i="3"/>
  <c r="D596" i="3" s="1"/>
  <c r="E595" i="3"/>
  <c r="I594" i="3"/>
  <c r="H594" i="3"/>
  <c r="G594" i="3"/>
  <c r="F594" i="3"/>
  <c r="D593" i="3"/>
  <c r="F592" i="3"/>
  <c r="D592" i="3" s="1"/>
  <c r="D591" i="3"/>
  <c r="I590" i="3"/>
  <c r="H590" i="3"/>
  <c r="G590" i="3"/>
  <c r="E590" i="3"/>
  <c r="E589" i="3"/>
  <c r="E588" i="3"/>
  <c r="D588" i="3" s="1"/>
  <c r="E587" i="3"/>
  <c r="D587" i="3" s="1"/>
  <c r="I586" i="3"/>
  <c r="H586" i="3"/>
  <c r="G586" i="3"/>
  <c r="F586" i="3"/>
  <c r="E585" i="3"/>
  <c r="D585" i="3" s="1"/>
  <c r="E584" i="3"/>
  <c r="D584" i="3" s="1"/>
  <c r="E583" i="3"/>
  <c r="I582" i="3"/>
  <c r="H582" i="3"/>
  <c r="G582" i="3"/>
  <c r="F582" i="3"/>
  <c r="D581" i="3"/>
  <c r="D580" i="3"/>
  <c r="E579" i="3"/>
  <c r="D579" i="3" s="1"/>
  <c r="I578" i="3"/>
  <c r="H578" i="3"/>
  <c r="G578" i="3"/>
  <c r="F578" i="3"/>
  <c r="D577" i="3"/>
  <c r="E576" i="3"/>
  <c r="E574" i="3" s="1"/>
  <c r="D575" i="3"/>
  <c r="I574" i="3"/>
  <c r="H574" i="3"/>
  <c r="G574" i="3"/>
  <c r="F574" i="3"/>
  <c r="E573" i="3"/>
  <c r="D573" i="3" s="1"/>
  <c r="E572" i="3"/>
  <c r="E571" i="3"/>
  <c r="D571" i="3" s="1"/>
  <c r="I570" i="3"/>
  <c r="H570" i="3"/>
  <c r="G570" i="3"/>
  <c r="F570" i="3"/>
  <c r="E569" i="3"/>
  <c r="D569" i="3" s="1"/>
  <c r="E568" i="3"/>
  <c r="E567" i="3"/>
  <c r="D567" i="3" s="1"/>
  <c r="I566" i="3"/>
  <c r="H566" i="3"/>
  <c r="G566" i="3"/>
  <c r="F566" i="3"/>
  <c r="G565" i="3"/>
  <c r="E565" i="3"/>
  <c r="G564" i="3"/>
  <c r="F564" i="3"/>
  <c r="F562" i="3" s="1"/>
  <c r="E564" i="3"/>
  <c r="I563" i="3"/>
  <c r="G563" i="3"/>
  <c r="E563" i="3"/>
  <c r="H562" i="3"/>
  <c r="I553" i="3"/>
  <c r="H553" i="3" s="1"/>
  <c r="G553" i="3" s="1"/>
  <c r="F553" i="3" s="1"/>
  <c r="E553" i="3"/>
  <c r="I552" i="3"/>
  <c r="E552" i="3"/>
  <c r="I551" i="3"/>
  <c r="H551" i="3" s="1"/>
  <c r="G551" i="3" s="1"/>
  <c r="F551" i="3" s="1"/>
  <c r="E551" i="3"/>
  <c r="I549" i="3"/>
  <c r="H549" i="3" s="1"/>
  <c r="G549" i="3" s="1"/>
  <c r="F549" i="3" s="1"/>
  <c r="E549" i="3"/>
  <c r="I548" i="3"/>
  <c r="E548" i="3"/>
  <c r="I547" i="3"/>
  <c r="H547" i="3" s="1"/>
  <c r="G547" i="3" s="1"/>
  <c r="E547" i="3"/>
  <c r="I545" i="3"/>
  <c r="H545" i="3" s="1"/>
  <c r="G545" i="3" s="1"/>
  <c r="F545" i="3" s="1"/>
  <c r="E545" i="3"/>
  <c r="I544" i="3"/>
  <c r="E544" i="3"/>
  <c r="I543" i="3"/>
  <c r="H543" i="3" s="1"/>
  <c r="G543" i="3" s="1"/>
  <c r="F543" i="3" s="1"/>
  <c r="E543" i="3"/>
  <c r="E542" i="3" s="1"/>
  <c r="H541" i="3"/>
  <c r="H540" i="3"/>
  <c r="G540" i="3" s="1"/>
  <c r="I539" i="3"/>
  <c r="E537" i="3"/>
  <c r="E536" i="3"/>
  <c r="D536" i="3" s="1"/>
  <c r="E535" i="3"/>
  <c r="I534" i="3"/>
  <c r="H534" i="3"/>
  <c r="G534" i="3"/>
  <c r="F534" i="3"/>
  <c r="I531" i="3"/>
  <c r="I530" i="3" s="1"/>
  <c r="H530" i="3"/>
  <c r="G530" i="3"/>
  <c r="F530" i="3"/>
  <c r="D529" i="3"/>
  <c r="D528" i="3"/>
  <c r="E527" i="3"/>
  <c r="I526" i="3"/>
  <c r="H526" i="3"/>
  <c r="G526" i="3"/>
  <c r="F526" i="3"/>
  <c r="D525" i="3"/>
  <c r="D524" i="3"/>
  <c r="D523" i="3"/>
  <c r="D521" i="3"/>
  <c r="D520" i="3"/>
  <c r="E519" i="3"/>
  <c r="I518" i="3"/>
  <c r="H518" i="3"/>
  <c r="G518" i="3"/>
  <c r="F518" i="3"/>
  <c r="I515" i="3"/>
  <c r="I511" i="3" s="1"/>
  <c r="H514" i="3"/>
  <c r="G514" i="3"/>
  <c r="F514" i="3"/>
  <c r="I513" i="3"/>
  <c r="H513" i="3"/>
  <c r="G513" i="3"/>
  <c r="F513" i="3"/>
  <c r="I512" i="3"/>
  <c r="H512" i="3"/>
  <c r="G512" i="3"/>
  <c r="F512" i="3"/>
  <c r="H511" i="3"/>
  <c r="G511" i="3"/>
  <c r="F511" i="3"/>
  <c r="D509" i="3"/>
  <c r="D508" i="3"/>
  <c r="E507" i="3"/>
  <c r="E506" i="3" s="1"/>
  <c r="I506" i="3"/>
  <c r="H506" i="3"/>
  <c r="G506" i="3"/>
  <c r="F506" i="3"/>
  <c r="E505" i="3"/>
  <c r="E504" i="3"/>
  <c r="D504" i="3" s="1"/>
  <c r="E503" i="3"/>
  <c r="D503" i="3" s="1"/>
  <c r="I502" i="3"/>
  <c r="H502" i="3"/>
  <c r="G502" i="3"/>
  <c r="F502" i="3"/>
  <c r="E501" i="3"/>
  <c r="D501" i="3" s="1"/>
  <c r="E500" i="3"/>
  <c r="E499" i="3"/>
  <c r="D499" i="3" s="1"/>
  <c r="I498" i="3"/>
  <c r="H498" i="3"/>
  <c r="G498" i="3"/>
  <c r="F498" i="3"/>
  <c r="I497" i="3"/>
  <c r="H497" i="3"/>
  <c r="G497" i="3"/>
  <c r="F497" i="3"/>
  <c r="I496" i="3"/>
  <c r="H496" i="3"/>
  <c r="G496" i="3"/>
  <c r="F496" i="3"/>
  <c r="I495" i="3"/>
  <c r="H495" i="3"/>
  <c r="G495" i="3"/>
  <c r="F495" i="3"/>
  <c r="D473" i="3"/>
  <c r="D472" i="3"/>
  <c r="D471" i="3"/>
  <c r="I470" i="3"/>
  <c r="H470" i="3"/>
  <c r="G470" i="3"/>
  <c r="F470" i="3"/>
  <c r="E470" i="3"/>
  <c r="D469" i="3"/>
  <c r="D468" i="3"/>
  <c r="D467" i="3"/>
  <c r="D466" i="3"/>
  <c r="D465" i="3"/>
  <c r="D464" i="3"/>
  <c r="I463" i="3"/>
  <c r="H463" i="3"/>
  <c r="G463" i="3"/>
  <c r="F463" i="3"/>
  <c r="E463" i="3"/>
  <c r="D451" i="3"/>
  <c r="D415" i="3" s="1"/>
  <c r="D450" i="3"/>
  <c r="D449" i="3"/>
  <c r="D413" i="3" s="1"/>
  <c r="I448" i="3"/>
  <c r="H448" i="3"/>
  <c r="G448" i="3"/>
  <c r="F448" i="3"/>
  <c r="E448" i="3"/>
  <c r="I415" i="3"/>
  <c r="H415" i="3"/>
  <c r="G415" i="3"/>
  <c r="F415" i="3"/>
  <c r="E415" i="3"/>
  <c r="I414" i="3"/>
  <c r="H414" i="3"/>
  <c r="G414" i="3"/>
  <c r="F414" i="3"/>
  <c r="E414" i="3"/>
  <c r="I413" i="3"/>
  <c r="H413" i="3"/>
  <c r="G413" i="3"/>
  <c r="F413" i="3"/>
  <c r="E413" i="3"/>
  <c r="J411" i="3"/>
  <c r="D411" i="3"/>
  <c r="J410" i="3"/>
  <c r="D410" i="3"/>
  <c r="J409" i="3"/>
  <c r="D409" i="3"/>
  <c r="H408" i="3"/>
  <c r="G408" i="3"/>
  <c r="F408" i="3"/>
  <c r="E408" i="3"/>
  <c r="J407" i="3"/>
  <c r="D407" i="3"/>
  <c r="J406" i="3"/>
  <c r="D406" i="3"/>
  <c r="J405" i="3"/>
  <c r="D405" i="3"/>
  <c r="H404" i="3"/>
  <c r="G404" i="3"/>
  <c r="F404" i="3"/>
  <c r="E404" i="3"/>
  <c r="J403" i="3"/>
  <c r="D403" i="3"/>
  <c r="J402" i="3"/>
  <c r="D402" i="3"/>
  <c r="J401" i="3"/>
  <c r="D401" i="3"/>
  <c r="D400" i="3" s="1"/>
  <c r="H400" i="3"/>
  <c r="G400" i="3"/>
  <c r="F400" i="3"/>
  <c r="E400" i="3"/>
  <c r="J399" i="3"/>
  <c r="D399" i="3"/>
  <c r="J398" i="3"/>
  <c r="D398" i="3"/>
  <c r="J397" i="3"/>
  <c r="D397" i="3"/>
  <c r="H396" i="3"/>
  <c r="G396" i="3"/>
  <c r="F396" i="3"/>
  <c r="E396" i="3"/>
  <c r="J395" i="3"/>
  <c r="D395" i="3"/>
  <c r="J394" i="3"/>
  <c r="D394" i="3"/>
  <c r="J393" i="3"/>
  <c r="D393" i="3"/>
  <c r="H392" i="3"/>
  <c r="G392" i="3"/>
  <c r="G391" i="3" s="1"/>
  <c r="G390" i="3" s="1"/>
  <c r="F392" i="3"/>
  <c r="F391" i="3" s="1"/>
  <c r="F390" i="3" s="1"/>
  <c r="F386" i="3" s="1"/>
  <c r="E392" i="3"/>
  <c r="H388" i="3"/>
  <c r="H386" i="3"/>
  <c r="H385" i="3"/>
  <c r="G383" i="3"/>
  <c r="G371" i="3" s="1"/>
  <c r="G347" i="3" s="1"/>
  <c r="G339" i="3" s="1"/>
  <c r="F383" i="3"/>
  <c r="G382" i="3"/>
  <c r="G370" i="3" s="1"/>
  <c r="G346" i="3" s="1"/>
  <c r="F382" i="3"/>
  <c r="J381" i="3"/>
  <c r="D381" i="3"/>
  <c r="I380" i="3"/>
  <c r="H380" i="3"/>
  <c r="E380" i="3"/>
  <c r="J379" i="3"/>
  <c r="D379" i="3"/>
  <c r="J378" i="3"/>
  <c r="H377" i="3"/>
  <c r="G377" i="3"/>
  <c r="E377" i="3"/>
  <c r="E369" i="3" s="1"/>
  <c r="I376" i="3"/>
  <c r="F376" i="3"/>
  <c r="J375" i="3"/>
  <c r="D375" i="3"/>
  <c r="J374" i="3"/>
  <c r="D374" i="3"/>
  <c r="J373" i="3"/>
  <c r="D373" i="3"/>
  <c r="I372" i="3"/>
  <c r="H372" i="3"/>
  <c r="G372" i="3"/>
  <c r="F372" i="3"/>
  <c r="E372" i="3"/>
  <c r="I371" i="3"/>
  <c r="I347" i="3" s="1"/>
  <c r="I339" i="3" s="1"/>
  <c r="H371" i="3"/>
  <c r="H347" i="3" s="1"/>
  <c r="H339" i="3" s="1"/>
  <c r="E371" i="3"/>
  <c r="I370" i="3"/>
  <c r="I346" i="3" s="1"/>
  <c r="I338" i="3" s="1"/>
  <c r="H370" i="3"/>
  <c r="H346" i="3" s="1"/>
  <c r="H338" i="3" s="1"/>
  <c r="E370" i="3"/>
  <c r="E346" i="3" s="1"/>
  <c r="E338" i="3" s="1"/>
  <c r="I369" i="3"/>
  <c r="I345" i="3" s="1"/>
  <c r="I337" i="3" s="1"/>
  <c r="F369" i="3"/>
  <c r="F345" i="3" s="1"/>
  <c r="F337" i="3" s="1"/>
  <c r="J367" i="3"/>
  <c r="D367" i="3"/>
  <c r="J366" i="3"/>
  <c r="D366" i="3"/>
  <c r="J365" i="3"/>
  <c r="D365" i="3"/>
  <c r="I364" i="3"/>
  <c r="H364" i="3"/>
  <c r="G364" i="3"/>
  <c r="F364" i="3"/>
  <c r="E364" i="3"/>
  <c r="J363" i="3"/>
  <c r="D363" i="3"/>
  <c r="J362" i="3"/>
  <c r="D362" i="3"/>
  <c r="J361" i="3"/>
  <c r="D361" i="3"/>
  <c r="D360" i="3" s="1"/>
  <c r="I360" i="3"/>
  <c r="H360" i="3"/>
  <c r="G360" i="3"/>
  <c r="F360" i="3"/>
  <c r="E360" i="3"/>
  <c r="J359" i="3"/>
  <c r="D359" i="3"/>
  <c r="J358" i="3"/>
  <c r="D358" i="3"/>
  <c r="J357" i="3"/>
  <c r="D357" i="3"/>
  <c r="D356" i="3" s="1"/>
  <c r="I356" i="3"/>
  <c r="H356" i="3"/>
  <c r="G356" i="3"/>
  <c r="F356" i="3"/>
  <c r="E356" i="3"/>
  <c r="J355" i="3"/>
  <c r="D355" i="3"/>
  <c r="J354" i="3"/>
  <c r="D354" i="3"/>
  <c r="J353" i="3"/>
  <c r="D353" i="3"/>
  <c r="I352" i="3"/>
  <c r="H352" i="3"/>
  <c r="G352" i="3"/>
  <c r="F352" i="3"/>
  <c r="E352" i="3"/>
  <c r="J351" i="3"/>
  <c r="D351" i="3"/>
  <c r="J350" i="3"/>
  <c r="D350" i="3"/>
  <c r="J349" i="3"/>
  <c r="D349" i="3"/>
  <c r="I348" i="3"/>
  <c r="H348" i="3"/>
  <c r="G348" i="3"/>
  <c r="F348" i="3"/>
  <c r="E348" i="3"/>
  <c r="J343" i="3"/>
  <c r="J342" i="3"/>
  <c r="J341" i="3"/>
  <c r="I340" i="3"/>
  <c r="H340" i="3"/>
  <c r="G340" i="3"/>
  <c r="F340" i="3"/>
  <c r="E340" i="3"/>
  <c r="D340" i="3"/>
  <c r="J335" i="3"/>
  <c r="D335" i="3"/>
  <c r="J334" i="3"/>
  <c r="D334" i="3"/>
  <c r="J333" i="3"/>
  <c r="D333" i="3"/>
  <c r="I332" i="3"/>
  <c r="H332" i="3"/>
  <c r="H331" i="3" s="1"/>
  <c r="H330" i="3" s="1"/>
  <c r="H329" i="3" s="1"/>
  <c r="F332" i="3"/>
  <c r="F331" i="3" s="1"/>
  <c r="F330" i="3" s="1"/>
  <c r="F329" i="3" s="1"/>
  <c r="F328" i="3" s="1"/>
  <c r="E332" i="3"/>
  <c r="E331" i="3" s="1"/>
  <c r="E330" i="3" s="1"/>
  <c r="E329" i="3" s="1"/>
  <c r="I331" i="3"/>
  <c r="I330" i="3" s="1"/>
  <c r="I329" i="3" s="1"/>
  <c r="I328" i="3" s="1"/>
  <c r="G328" i="3"/>
  <c r="J327" i="3"/>
  <c r="D327" i="3"/>
  <c r="J326" i="3"/>
  <c r="D326" i="3"/>
  <c r="J325" i="3"/>
  <c r="D325" i="3"/>
  <c r="I324" i="3"/>
  <c r="H324" i="3"/>
  <c r="G324" i="3"/>
  <c r="F324" i="3"/>
  <c r="E324" i="3"/>
  <c r="J323" i="3"/>
  <c r="D323" i="3"/>
  <c r="J322" i="3"/>
  <c r="D322" i="3"/>
  <c r="J321" i="3"/>
  <c r="D321" i="3"/>
  <c r="D320" i="3" s="1"/>
  <c r="I320" i="3"/>
  <c r="H320" i="3"/>
  <c r="G320" i="3"/>
  <c r="F320" i="3"/>
  <c r="E320" i="3"/>
  <c r="J319" i="3"/>
  <c r="D319" i="3"/>
  <c r="J318" i="3"/>
  <c r="D318" i="3"/>
  <c r="J317" i="3"/>
  <c r="D317" i="3"/>
  <c r="I316" i="3"/>
  <c r="H316" i="3"/>
  <c r="G316" i="3"/>
  <c r="F316" i="3"/>
  <c r="E316" i="3"/>
  <c r="G315" i="3"/>
  <c r="G314" i="3"/>
  <c r="G313" i="3"/>
  <c r="D313" i="3" s="1"/>
  <c r="I312" i="3"/>
  <c r="H312" i="3"/>
  <c r="F312" i="3"/>
  <c r="E312" i="3"/>
  <c r="J311" i="3"/>
  <c r="D311" i="3"/>
  <c r="J310" i="3"/>
  <c r="D310" i="3"/>
  <c r="J309" i="3"/>
  <c r="D309" i="3"/>
  <c r="J308" i="3"/>
  <c r="D308" i="3"/>
  <c r="J307" i="3"/>
  <c r="D307" i="3"/>
  <c r="J306" i="3"/>
  <c r="D306" i="3"/>
  <c r="G305" i="3"/>
  <c r="I304" i="3"/>
  <c r="H304" i="3"/>
  <c r="F304" i="3"/>
  <c r="E304" i="3"/>
  <c r="J303" i="3"/>
  <c r="D303" i="3"/>
  <c r="J302" i="3"/>
  <c r="D302" i="3"/>
  <c r="G301" i="3"/>
  <c r="D301" i="3" s="1"/>
  <c r="I300" i="3"/>
  <c r="H300" i="3"/>
  <c r="F300" i="3"/>
  <c r="E300" i="3"/>
  <c r="E299" i="3"/>
  <c r="E275" i="3" s="1"/>
  <c r="E298" i="3"/>
  <c r="D298" i="3" s="1"/>
  <c r="E297" i="3"/>
  <c r="D297" i="3" s="1"/>
  <c r="I296" i="3"/>
  <c r="H296" i="3"/>
  <c r="G296" i="3"/>
  <c r="F296" i="3"/>
  <c r="J295" i="3"/>
  <c r="D295" i="3"/>
  <c r="J294" i="3"/>
  <c r="D294" i="3"/>
  <c r="G293" i="3"/>
  <c r="G292" i="3" s="1"/>
  <c r="I292" i="3"/>
  <c r="H292" i="3"/>
  <c r="F292" i="3"/>
  <c r="E292" i="3"/>
  <c r="G291" i="3"/>
  <c r="G275" i="3" s="1"/>
  <c r="G290" i="3"/>
  <c r="G289" i="3"/>
  <c r="J289" i="3" s="1"/>
  <c r="I288" i="3"/>
  <c r="H288" i="3"/>
  <c r="F288" i="3"/>
  <c r="E288" i="3"/>
  <c r="J287" i="3"/>
  <c r="D287" i="3"/>
  <c r="J286" i="3"/>
  <c r="D286" i="3"/>
  <c r="E285" i="3"/>
  <c r="J285" i="3" s="1"/>
  <c r="I284" i="3"/>
  <c r="H284" i="3"/>
  <c r="G284" i="3"/>
  <c r="F284" i="3"/>
  <c r="J283" i="3"/>
  <c r="D283" i="3"/>
  <c r="J282" i="3"/>
  <c r="D282" i="3"/>
  <c r="G281" i="3"/>
  <c r="E281" i="3"/>
  <c r="E280" i="3" s="1"/>
  <c r="I280" i="3"/>
  <c r="H280" i="3"/>
  <c r="F280" i="3"/>
  <c r="J279" i="3"/>
  <c r="D279" i="3"/>
  <c r="J278" i="3"/>
  <c r="D278" i="3"/>
  <c r="G277" i="3"/>
  <c r="G276" i="3" s="1"/>
  <c r="E277" i="3"/>
  <c r="I276" i="3"/>
  <c r="H276" i="3"/>
  <c r="F276" i="3"/>
  <c r="E276" i="3"/>
  <c r="I275" i="3"/>
  <c r="H275" i="3"/>
  <c r="F275" i="3"/>
  <c r="I274" i="3"/>
  <c r="H274" i="3"/>
  <c r="F274" i="3"/>
  <c r="I273" i="3"/>
  <c r="H273" i="3"/>
  <c r="F273" i="3"/>
  <c r="D263" i="3"/>
  <c r="D262" i="3"/>
  <c r="D261" i="3"/>
  <c r="I260" i="3"/>
  <c r="H260" i="3"/>
  <c r="G260" i="3"/>
  <c r="F260" i="3"/>
  <c r="E260" i="3"/>
  <c r="J259" i="3"/>
  <c r="D259" i="3"/>
  <c r="J258" i="3"/>
  <c r="D258" i="3"/>
  <c r="J257" i="3"/>
  <c r="D257" i="3"/>
  <c r="D256" i="3" s="1"/>
  <c r="H256" i="3"/>
  <c r="G256" i="3"/>
  <c r="F256" i="3"/>
  <c r="E256" i="3"/>
  <c r="I255" i="3"/>
  <c r="H255" i="3"/>
  <c r="G255" i="3"/>
  <c r="F255" i="3"/>
  <c r="E255" i="3"/>
  <c r="I254" i="3"/>
  <c r="I246" i="3" s="1"/>
  <c r="H254" i="3"/>
  <c r="G254" i="3"/>
  <c r="F254" i="3"/>
  <c r="E254" i="3"/>
  <c r="I253" i="3"/>
  <c r="H253" i="3"/>
  <c r="G253" i="3"/>
  <c r="F253" i="3"/>
  <c r="E253" i="3"/>
  <c r="J251" i="3"/>
  <c r="D251" i="3"/>
  <c r="J250" i="3"/>
  <c r="D250" i="3"/>
  <c r="J249" i="3"/>
  <c r="D249" i="3"/>
  <c r="J248" i="3"/>
  <c r="D248" i="3"/>
  <c r="J247" i="3"/>
  <c r="H246" i="3"/>
  <c r="H234" i="3" s="1"/>
  <c r="G246" i="3"/>
  <c r="F246" i="3"/>
  <c r="F234" i="3" s="1"/>
  <c r="E246" i="3"/>
  <c r="E238" i="3" s="1"/>
  <c r="H245" i="3"/>
  <c r="H237" i="3" s="1"/>
  <c r="G245" i="3"/>
  <c r="G237" i="3" s="1"/>
  <c r="F245" i="3"/>
  <c r="E245" i="3"/>
  <c r="E233" i="3" s="1"/>
  <c r="H244" i="3"/>
  <c r="H236" i="3" s="1"/>
  <c r="H232" i="3" s="1"/>
  <c r="G244" i="3"/>
  <c r="G236" i="3" s="1"/>
  <c r="G232" i="3" s="1"/>
  <c r="F244" i="3"/>
  <c r="E244" i="3"/>
  <c r="J242" i="3"/>
  <c r="D242" i="3"/>
  <c r="J241" i="3"/>
  <c r="D241" i="3"/>
  <c r="J240" i="3"/>
  <c r="D240" i="3"/>
  <c r="D239" i="3" s="1"/>
  <c r="I239" i="3"/>
  <c r="H239" i="3"/>
  <c r="G239" i="3"/>
  <c r="F239" i="3"/>
  <c r="E239" i="3"/>
  <c r="J230" i="3"/>
  <c r="D230" i="3"/>
  <c r="J229" i="3"/>
  <c r="D229" i="3"/>
  <c r="J228" i="3"/>
  <c r="D228" i="3"/>
  <c r="D227" i="3" s="1"/>
  <c r="I227" i="3"/>
  <c r="H227" i="3"/>
  <c r="G227" i="3"/>
  <c r="F227" i="3"/>
  <c r="E227" i="3"/>
  <c r="J226" i="3"/>
  <c r="D226" i="3"/>
  <c r="J225" i="3"/>
  <c r="D225" i="3"/>
  <c r="J224" i="3"/>
  <c r="D224" i="3"/>
  <c r="I223" i="3"/>
  <c r="H223" i="3"/>
  <c r="G223" i="3"/>
  <c r="F223" i="3"/>
  <c r="E223" i="3"/>
  <c r="J222" i="3"/>
  <c r="D222" i="3"/>
  <c r="J221" i="3"/>
  <c r="D221" i="3"/>
  <c r="J220" i="3"/>
  <c r="D220" i="3"/>
  <c r="I219" i="3"/>
  <c r="H219" i="3"/>
  <c r="G219" i="3"/>
  <c r="F219" i="3"/>
  <c r="E219" i="3"/>
  <c r="G218" i="3"/>
  <c r="E218" i="3"/>
  <c r="G217" i="3"/>
  <c r="E217" i="3"/>
  <c r="G216" i="3"/>
  <c r="E216" i="3"/>
  <c r="I215" i="3"/>
  <c r="H215" i="3"/>
  <c r="E214" i="3"/>
  <c r="J214" i="3" s="1"/>
  <c r="E213" i="3"/>
  <c r="D213" i="3" s="1"/>
  <c r="E212" i="3"/>
  <c r="D212" i="3" s="1"/>
  <c r="I211" i="3"/>
  <c r="H211" i="3"/>
  <c r="G211" i="3"/>
  <c r="F211" i="3"/>
  <c r="E210" i="3"/>
  <c r="J210" i="3" s="1"/>
  <c r="E209" i="3"/>
  <c r="J209" i="3" s="1"/>
  <c r="E208" i="3"/>
  <c r="I207" i="3"/>
  <c r="H207" i="3"/>
  <c r="G207" i="3"/>
  <c r="F207" i="3"/>
  <c r="E206" i="3"/>
  <c r="E205" i="3"/>
  <c r="E204" i="3"/>
  <c r="I203" i="3"/>
  <c r="H203" i="3"/>
  <c r="G203" i="3"/>
  <c r="F203" i="3"/>
  <c r="E202" i="3"/>
  <c r="E201" i="3"/>
  <c r="E200" i="3"/>
  <c r="J200" i="3" s="1"/>
  <c r="I199" i="3"/>
  <c r="H199" i="3"/>
  <c r="G199" i="3"/>
  <c r="F199" i="3"/>
  <c r="E198" i="3"/>
  <c r="J198" i="3" s="1"/>
  <c r="E197" i="3"/>
  <c r="D197" i="3" s="1"/>
  <c r="E196" i="3"/>
  <c r="J196" i="3" s="1"/>
  <c r="I195" i="3"/>
  <c r="H195" i="3"/>
  <c r="G195" i="3"/>
  <c r="F195" i="3"/>
  <c r="J194" i="3"/>
  <c r="D194" i="3"/>
  <c r="J193" i="3"/>
  <c r="D193" i="3"/>
  <c r="E192" i="3"/>
  <c r="I191" i="3"/>
  <c r="H191" i="3"/>
  <c r="G191" i="3"/>
  <c r="F191" i="3"/>
  <c r="E190" i="3"/>
  <c r="E189" i="3"/>
  <c r="E188" i="3"/>
  <c r="I187" i="3"/>
  <c r="H187" i="3"/>
  <c r="G187" i="3"/>
  <c r="F187" i="3"/>
  <c r="E186" i="3"/>
  <c r="E185" i="3"/>
  <c r="J185" i="3" s="1"/>
  <c r="E184" i="3"/>
  <c r="D184" i="3" s="1"/>
  <c r="I183" i="3"/>
  <c r="H183" i="3"/>
  <c r="G183" i="3"/>
  <c r="F183" i="3"/>
  <c r="I182" i="3"/>
  <c r="I98" i="3" s="1"/>
  <c r="I94" i="3" s="1"/>
  <c r="H182" i="3"/>
  <c r="H98" i="3" s="1"/>
  <c r="H94" i="3" s="1"/>
  <c r="G182" i="3"/>
  <c r="F182" i="3"/>
  <c r="I181" i="3"/>
  <c r="I97" i="3" s="1"/>
  <c r="I93" i="3" s="1"/>
  <c r="H181" i="3"/>
  <c r="H97" i="3" s="1"/>
  <c r="G181" i="3"/>
  <c r="F181" i="3"/>
  <c r="I180" i="3"/>
  <c r="H180" i="3"/>
  <c r="H96" i="3" s="1"/>
  <c r="G180" i="3"/>
  <c r="G179" i="3" s="1"/>
  <c r="F180" i="3"/>
  <c r="E178" i="3"/>
  <c r="E177" i="3"/>
  <c r="E176" i="3"/>
  <c r="I175" i="3"/>
  <c r="H175" i="3"/>
  <c r="G175" i="3"/>
  <c r="F175" i="3"/>
  <c r="E174" i="3"/>
  <c r="D174" i="3" s="1"/>
  <c r="E173" i="3"/>
  <c r="E172" i="3"/>
  <c r="J172" i="3" s="1"/>
  <c r="I171" i="3"/>
  <c r="H171" i="3"/>
  <c r="G171" i="3"/>
  <c r="F171" i="3"/>
  <c r="E170" i="3"/>
  <c r="E169" i="3"/>
  <c r="J169" i="3" s="1"/>
  <c r="E168" i="3"/>
  <c r="I167" i="3"/>
  <c r="H167" i="3"/>
  <c r="G167" i="3"/>
  <c r="F167" i="3"/>
  <c r="E166" i="3"/>
  <c r="E165" i="3"/>
  <c r="E164" i="3"/>
  <c r="J164" i="3" s="1"/>
  <c r="I163" i="3"/>
  <c r="H163" i="3"/>
  <c r="G163" i="3"/>
  <c r="F163" i="3"/>
  <c r="E162" i="3"/>
  <c r="E161" i="3"/>
  <c r="J161" i="3" s="1"/>
  <c r="E160" i="3"/>
  <c r="I159" i="3"/>
  <c r="H159" i="3"/>
  <c r="G159" i="3"/>
  <c r="F159" i="3"/>
  <c r="E158" i="3"/>
  <c r="J158" i="3" s="1"/>
  <c r="E157" i="3"/>
  <c r="E156" i="3"/>
  <c r="I155" i="3"/>
  <c r="H155" i="3"/>
  <c r="G155" i="3"/>
  <c r="F155" i="3"/>
  <c r="E154" i="3"/>
  <c r="E153" i="3"/>
  <c r="E152" i="3"/>
  <c r="I151" i="3"/>
  <c r="H151" i="3"/>
  <c r="G151" i="3"/>
  <c r="F151" i="3"/>
  <c r="E150" i="3"/>
  <c r="J150" i="3" s="1"/>
  <c r="E149" i="3"/>
  <c r="E148" i="3"/>
  <c r="I147" i="3"/>
  <c r="H147" i="3"/>
  <c r="G147" i="3"/>
  <c r="F147" i="3"/>
  <c r="E146" i="3"/>
  <c r="E145" i="3"/>
  <c r="E144" i="3"/>
  <c r="I143" i="3"/>
  <c r="H143" i="3"/>
  <c r="G143" i="3"/>
  <c r="F143" i="3"/>
  <c r="E142" i="3"/>
  <c r="E141" i="3"/>
  <c r="E140" i="3"/>
  <c r="J140" i="3" s="1"/>
  <c r="I139" i="3"/>
  <c r="H139" i="3"/>
  <c r="G139" i="3"/>
  <c r="F139" i="3"/>
  <c r="J138" i="3"/>
  <c r="D138" i="3"/>
  <c r="J137" i="3"/>
  <c r="D137" i="3"/>
  <c r="J136" i="3"/>
  <c r="D136" i="3"/>
  <c r="I135" i="3"/>
  <c r="H135" i="3"/>
  <c r="G135" i="3"/>
  <c r="F135" i="3"/>
  <c r="E135" i="3"/>
  <c r="E134" i="3"/>
  <c r="D134" i="3" s="1"/>
  <c r="E133" i="3"/>
  <c r="J133" i="3" s="1"/>
  <c r="E132" i="3"/>
  <c r="D132" i="3" s="1"/>
  <c r="I131" i="3"/>
  <c r="H131" i="3"/>
  <c r="G131" i="3"/>
  <c r="F131" i="3"/>
  <c r="E130" i="3"/>
  <c r="D130" i="3" s="1"/>
  <c r="E129" i="3"/>
  <c r="J129" i="3" s="1"/>
  <c r="E128" i="3"/>
  <c r="J128" i="3" s="1"/>
  <c r="I127" i="3"/>
  <c r="H127" i="3"/>
  <c r="G127" i="3"/>
  <c r="F127" i="3"/>
  <c r="E126" i="3"/>
  <c r="E125" i="3"/>
  <c r="J125" i="3" s="1"/>
  <c r="E124" i="3"/>
  <c r="D124" i="3" s="1"/>
  <c r="I123" i="3"/>
  <c r="H123" i="3"/>
  <c r="G123" i="3"/>
  <c r="F123" i="3"/>
  <c r="E122" i="3"/>
  <c r="E121" i="3"/>
  <c r="D121" i="3" s="1"/>
  <c r="E120" i="3"/>
  <c r="J120" i="3" s="1"/>
  <c r="I119" i="3"/>
  <c r="H119" i="3"/>
  <c r="H118" i="3" s="1"/>
  <c r="H117" i="3" s="1"/>
  <c r="G119" i="3"/>
  <c r="F119" i="3"/>
  <c r="I118" i="3"/>
  <c r="I117" i="3" s="1"/>
  <c r="I116" i="3" s="1"/>
  <c r="I115" i="3" s="1"/>
  <c r="E118" i="3"/>
  <c r="E117" i="3"/>
  <c r="E116" i="3"/>
  <c r="G115" i="3"/>
  <c r="F115" i="3"/>
  <c r="G114" i="3"/>
  <c r="F114" i="3"/>
  <c r="E114" i="3"/>
  <c r="G113" i="3"/>
  <c r="F113" i="3"/>
  <c r="E113" i="3"/>
  <c r="G112" i="3"/>
  <c r="F112" i="3"/>
  <c r="E112" i="3"/>
  <c r="I111" i="3"/>
  <c r="H111" i="3"/>
  <c r="E110" i="3"/>
  <c r="D110" i="3" s="1"/>
  <c r="E109" i="3"/>
  <c r="E108" i="3"/>
  <c r="I107" i="3"/>
  <c r="H107" i="3"/>
  <c r="G107" i="3"/>
  <c r="F107" i="3"/>
  <c r="E106" i="3"/>
  <c r="D106" i="3" s="1"/>
  <c r="E105" i="3"/>
  <c r="D105" i="3" s="1"/>
  <c r="E104" i="3"/>
  <c r="J104" i="3" s="1"/>
  <c r="I103" i="3"/>
  <c r="H103" i="3"/>
  <c r="G103" i="3"/>
  <c r="F103" i="3"/>
  <c r="G102" i="3"/>
  <c r="F102" i="3"/>
  <c r="F98" i="3" s="1"/>
  <c r="F94" i="3" s="1"/>
  <c r="E102" i="3"/>
  <c r="G101" i="3"/>
  <c r="F101" i="3"/>
  <c r="E101" i="3"/>
  <c r="G100" i="3"/>
  <c r="F100" i="3"/>
  <c r="E100" i="3"/>
  <c r="I99" i="3"/>
  <c r="H99" i="3"/>
  <c r="E90" i="3"/>
  <c r="D90" i="3" s="1"/>
  <c r="E89" i="3"/>
  <c r="D89" i="3" s="1"/>
  <c r="E88" i="3"/>
  <c r="J88" i="3" s="1"/>
  <c r="I87" i="3"/>
  <c r="H87" i="3"/>
  <c r="G87" i="3"/>
  <c r="F87" i="3"/>
  <c r="E86" i="3"/>
  <c r="D86" i="3" s="1"/>
  <c r="E85" i="3"/>
  <c r="E84" i="3"/>
  <c r="J84" i="3" s="1"/>
  <c r="I83" i="3"/>
  <c r="H83" i="3"/>
  <c r="G83" i="3"/>
  <c r="F83" i="3"/>
  <c r="E82" i="3"/>
  <c r="J82" i="3" s="1"/>
  <c r="E81" i="3"/>
  <c r="E80" i="3"/>
  <c r="I79" i="3"/>
  <c r="H79" i="3"/>
  <c r="G79" i="3"/>
  <c r="F79" i="3"/>
  <c r="E78" i="3"/>
  <c r="E77" i="3"/>
  <c r="D77" i="3" s="1"/>
  <c r="E76" i="3"/>
  <c r="I75" i="3"/>
  <c r="I38" i="3" s="1"/>
  <c r="H75" i="3"/>
  <c r="G75" i="3"/>
  <c r="F75" i="3"/>
  <c r="E74" i="3"/>
  <c r="E73" i="3"/>
  <c r="E72" i="3"/>
  <c r="J72" i="3" s="1"/>
  <c r="I71" i="3"/>
  <c r="H71" i="3"/>
  <c r="G71" i="3"/>
  <c r="F71" i="3"/>
  <c r="E70" i="3"/>
  <c r="D70" i="3" s="1"/>
  <c r="E69" i="3"/>
  <c r="E68" i="3"/>
  <c r="J68" i="3" s="1"/>
  <c r="I67" i="3"/>
  <c r="H67" i="3"/>
  <c r="G67" i="3"/>
  <c r="F67" i="3"/>
  <c r="E66" i="3"/>
  <c r="J66" i="3" s="1"/>
  <c r="E65" i="3"/>
  <c r="E64" i="3"/>
  <c r="I63" i="3"/>
  <c r="I34" i="3" s="1"/>
  <c r="I33" i="3" s="1"/>
  <c r="I32" i="3" s="1"/>
  <c r="I31" i="3" s="1"/>
  <c r="H63" i="3"/>
  <c r="G63" i="3"/>
  <c r="F63" i="3"/>
  <c r="E62" i="3"/>
  <c r="J62" i="3" s="1"/>
  <c r="E61" i="3"/>
  <c r="D61" i="3" s="1"/>
  <c r="E60" i="3"/>
  <c r="I59" i="3"/>
  <c r="H59" i="3"/>
  <c r="G59" i="3"/>
  <c r="F59" i="3"/>
  <c r="G58" i="3"/>
  <c r="G57" i="3"/>
  <c r="G56" i="3"/>
  <c r="D56" i="3" s="1"/>
  <c r="I55" i="3"/>
  <c r="H55" i="3"/>
  <c r="F55" i="3"/>
  <c r="E55" i="3"/>
  <c r="G54" i="3"/>
  <c r="E54" i="3"/>
  <c r="G53" i="3"/>
  <c r="E53" i="3"/>
  <c r="G52" i="3"/>
  <c r="E52" i="3"/>
  <c r="I51" i="3"/>
  <c r="H51" i="3"/>
  <c r="F51" i="3"/>
  <c r="E50" i="3"/>
  <c r="J50" i="3" s="1"/>
  <c r="E49" i="3"/>
  <c r="E48" i="3"/>
  <c r="I47" i="3"/>
  <c r="H47" i="3"/>
  <c r="G47" i="3"/>
  <c r="F47" i="3"/>
  <c r="G46" i="3"/>
  <c r="E46" i="3"/>
  <c r="G45" i="3"/>
  <c r="E45" i="3"/>
  <c r="G44" i="3"/>
  <c r="E44" i="3"/>
  <c r="I43" i="3"/>
  <c r="H43" i="3"/>
  <c r="F43" i="3"/>
  <c r="G42" i="3"/>
  <c r="E42" i="3"/>
  <c r="G41" i="3"/>
  <c r="E41" i="3"/>
  <c r="G40" i="3"/>
  <c r="E40" i="3"/>
  <c r="I39" i="3"/>
  <c r="H39" i="3"/>
  <c r="F39" i="3"/>
  <c r="E38" i="3"/>
  <c r="E37" i="3"/>
  <c r="E36" i="3"/>
  <c r="H35" i="3"/>
  <c r="H30" i="3" s="1"/>
  <c r="H29" i="3" s="1"/>
  <c r="H28" i="3" s="1"/>
  <c r="H27" i="3" s="1"/>
  <c r="G35" i="3"/>
  <c r="F35" i="3"/>
  <c r="E34" i="3"/>
  <c r="E33" i="3"/>
  <c r="E32" i="3"/>
  <c r="D32" i="3" s="1"/>
  <c r="H31" i="3"/>
  <c r="G31" i="3"/>
  <c r="F31" i="3"/>
  <c r="G30" i="3"/>
  <c r="G26" i="3" s="1"/>
  <c r="E30" i="3"/>
  <c r="G29" i="3"/>
  <c r="G25" i="3" s="1"/>
  <c r="E29" i="3"/>
  <c r="E25" i="3" s="1"/>
  <c r="G28" i="3"/>
  <c r="G24" i="3" s="1"/>
  <c r="E28" i="3"/>
  <c r="F27" i="3"/>
  <c r="F24" i="3"/>
  <c r="H22" i="3"/>
  <c r="H18" i="3" s="1"/>
  <c r="F22" i="3"/>
  <c r="F18" i="3" s="1"/>
  <c r="H21" i="3"/>
  <c r="H17" i="3" s="1"/>
  <c r="F21" i="3"/>
  <c r="F17" i="3" s="1"/>
  <c r="D68" i="3"/>
  <c r="D129" i="3"/>
  <c r="D172" i="3"/>
  <c r="D196" i="3"/>
  <c r="D210" i="3"/>
  <c r="D291" i="3"/>
  <c r="J299" i="3"/>
  <c r="F370" i="3"/>
  <c r="F346" i="3" s="1"/>
  <c r="F338" i="3" s="1"/>
  <c r="E578" i="3"/>
  <c r="D88" i="3"/>
  <c r="D189" i="3"/>
  <c r="D314" i="3"/>
  <c r="I562" i="3"/>
  <c r="F179" i="3"/>
  <c r="J382" i="3"/>
  <c r="G562" i="3"/>
  <c r="F380" i="3"/>
  <c r="F547" i="3"/>
  <c r="D547" i="3" s="1"/>
  <c r="J298" i="3"/>
  <c r="I514" i="3"/>
  <c r="D254" i="3"/>
  <c r="H93" i="3"/>
  <c r="D324" i="3" l="1"/>
  <c r="E234" i="3"/>
  <c r="D50" i="3"/>
  <c r="D161" i="3"/>
  <c r="D82" i="3"/>
  <c r="D150" i="3"/>
  <c r="E59" i="3"/>
  <c r="G111" i="3"/>
  <c r="D277" i="3"/>
  <c r="D276" i="3" s="1"/>
  <c r="E71" i="3"/>
  <c r="J117" i="3"/>
  <c r="J59" i="3"/>
  <c r="I368" i="3"/>
  <c r="D84" i="3"/>
  <c r="D125" i="3"/>
  <c r="D316" i="3"/>
  <c r="J70" i="3"/>
  <c r="D372" i="3"/>
  <c r="D396" i="3"/>
  <c r="G23" i="3"/>
  <c r="D120" i="3"/>
  <c r="D289" i="3"/>
  <c r="F238" i="3"/>
  <c r="D209" i="3"/>
  <c r="D299" i="3"/>
  <c r="J291" i="3"/>
  <c r="D198" i="3"/>
  <c r="D195" i="3" s="1"/>
  <c r="E376" i="3"/>
  <c r="J100" i="3"/>
  <c r="J113" i="3"/>
  <c r="E115" i="3"/>
  <c r="J276" i="3"/>
  <c r="D382" i="3"/>
  <c r="D370" i="3" s="1"/>
  <c r="D346" i="3" s="1"/>
  <c r="I510" i="3"/>
  <c r="D563" i="3"/>
  <c r="G243" i="3"/>
  <c r="F96" i="3"/>
  <c r="F92" i="3" s="1"/>
  <c r="D543" i="3"/>
  <c r="I622" i="3"/>
  <c r="I558" i="3" s="1"/>
  <c r="I554" i="3" s="1"/>
  <c r="J56" i="3"/>
  <c r="D66" i="3"/>
  <c r="E274" i="3"/>
  <c r="J277" i="3"/>
  <c r="H179" i="3"/>
  <c r="G233" i="3"/>
  <c r="D169" i="3"/>
  <c r="D104" i="3"/>
  <c r="D103" i="3" s="1"/>
  <c r="J301" i="3"/>
  <c r="J293" i="3"/>
  <c r="D200" i="3"/>
  <c r="D158" i="3"/>
  <c r="D140" i="3"/>
  <c r="F97" i="3"/>
  <c r="F93" i="3" s="1"/>
  <c r="G624" i="3"/>
  <c r="G560" i="3" s="1"/>
  <c r="G556" i="3" s="1"/>
  <c r="F95" i="3"/>
  <c r="I344" i="3"/>
  <c r="D53" i="3"/>
  <c r="J77" i="3"/>
  <c r="F111" i="3"/>
  <c r="J400" i="3"/>
  <c r="G412" i="3"/>
  <c r="D470" i="3"/>
  <c r="D331" i="3"/>
  <c r="E35" i="3"/>
  <c r="J52" i="3"/>
  <c r="J112" i="3"/>
  <c r="J114" i="3"/>
  <c r="J212" i="3"/>
  <c r="J218" i="3"/>
  <c r="F272" i="3"/>
  <c r="J352" i="3"/>
  <c r="E559" i="3"/>
  <c r="E555" i="3" s="1"/>
  <c r="J60" i="3"/>
  <c r="D60" i="3"/>
  <c r="J190" i="3"/>
  <c r="D190" i="3"/>
  <c r="G380" i="3"/>
  <c r="D185" i="3"/>
  <c r="D128" i="3"/>
  <c r="D127" i="3" s="1"/>
  <c r="D62" i="3"/>
  <c r="E182" i="3"/>
  <c r="J182" i="3" s="1"/>
  <c r="D164" i="3"/>
  <c r="D133" i="3"/>
  <c r="D131" i="3" s="1"/>
  <c r="F590" i="3"/>
  <c r="H625" i="3"/>
  <c r="H561" i="3" s="1"/>
  <c r="H557" i="3" s="1"/>
  <c r="H13" i="3" s="1"/>
  <c r="F23" i="3"/>
  <c r="F20" i="3"/>
  <c r="F19" i="3" s="1"/>
  <c r="J74" i="3"/>
  <c r="D74" i="3"/>
  <c r="J148" i="3"/>
  <c r="D148" i="3"/>
  <c r="J153" i="3"/>
  <c r="D153" i="3"/>
  <c r="J206" i="3"/>
  <c r="D206" i="3"/>
  <c r="G369" i="3"/>
  <c r="G345" i="3" s="1"/>
  <c r="G337" i="3" s="1"/>
  <c r="G376" i="3"/>
  <c r="D539" i="3"/>
  <c r="I538" i="3"/>
  <c r="D87" i="3"/>
  <c r="E21" i="3"/>
  <c r="E17" i="3" s="1"/>
  <c r="D33" i="3"/>
  <c r="J41" i="3"/>
  <c r="J44" i="3"/>
  <c r="J46" i="3"/>
  <c r="H272" i="3"/>
  <c r="J372" i="3"/>
  <c r="H510" i="3"/>
  <c r="H538" i="3"/>
  <c r="D551" i="3"/>
  <c r="E622" i="3"/>
  <c r="D658" i="3"/>
  <c r="I37" i="3"/>
  <c r="D38" i="3"/>
  <c r="J38" i="3"/>
  <c r="D330" i="3"/>
  <c r="G20" i="3"/>
  <c r="G16" i="3" s="1"/>
  <c r="G51" i="3"/>
  <c r="E127" i="3"/>
  <c r="J127" i="3" s="1"/>
  <c r="E215" i="3"/>
  <c r="D218" i="3"/>
  <c r="G312" i="3"/>
  <c r="D312" i="3" s="1"/>
  <c r="D414" i="3"/>
  <c r="D412" i="3" s="1"/>
  <c r="D329" i="3"/>
  <c r="D182" i="3"/>
  <c r="D72" i="3"/>
  <c r="E27" i="3"/>
  <c r="G21" i="3"/>
  <c r="G17" i="3" s="1"/>
  <c r="E26" i="3"/>
  <c r="D52" i="3"/>
  <c r="J53" i="3"/>
  <c r="J90" i="3"/>
  <c r="F99" i="3"/>
  <c r="E119" i="3"/>
  <c r="J119" i="3" s="1"/>
  <c r="J130" i="3"/>
  <c r="G96" i="3"/>
  <c r="G92" i="3" s="1"/>
  <c r="J219" i="3"/>
  <c r="J227" i="3"/>
  <c r="J239" i="3"/>
  <c r="I272" i="3"/>
  <c r="J292" i="3"/>
  <c r="G300" i="3"/>
  <c r="J300" i="3" s="1"/>
  <c r="J314" i="3"/>
  <c r="D315" i="3"/>
  <c r="J315" i="3"/>
  <c r="J340" i="3"/>
  <c r="J360" i="3"/>
  <c r="E546" i="3"/>
  <c r="E586" i="3"/>
  <c r="I559" i="3"/>
  <c r="I555" i="3" s="1"/>
  <c r="D392" i="3"/>
  <c r="D408" i="3"/>
  <c r="F412" i="3"/>
  <c r="E412" i="3"/>
  <c r="I412" i="3"/>
  <c r="G510" i="3"/>
  <c r="D549" i="3"/>
  <c r="F560" i="3"/>
  <c r="F556" i="3" s="1"/>
  <c r="D565" i="3"/>
  <c r="H623" i="3"/>
  <c r="H328" i="3"/>
  <c r="J329" i="3"/>
  <c r="J142" i="3"/>
  <c r="D142" i="3"/>
  <c r="D156" i="3"/>
  <c r="J156" i="3"/>
  <c r="F237" i="3"/>
  <c r="F233" i="3"/>
  <c r="I542" i="3"/>
  <c r="H544" i="3"/>
  <c r="G544" i="3" s="1"/>
  <c r="D583" i="3"/>
  <c r="E582" i="3"/>
  <c r="D49" i="3"/>
  <c r="E47" i="3"/>
  <c r="J47" i="3" s="1"/>
  <c r="J49" i="3"/>
  <c r="J65" i="3"/>
  <c r="D65" i="3"/>
  <c r="E496" i="3"/>
  <c r="E498" i="3"/>
  <c r="D500" i="3"/>
  <c r="D498" i="3" s="1"/>
  <c r="D568" i="3"/>
  <c r="D566" i="3" s="1"/>
  <c r="E566" i="3"/>
  <c r="D572" i="3"/>
  <c r="E570" i="3"/>
  <c r="J69" i="3"/>
  <c r="D69" i="3"/>
  <c r="D67" i="3" s="1"/>
  <c r="E67" i="3"/>
  <c r="J67" i="3" s="1"/>
  <c r="J109" i="3"/>
  <c r="D109" i="3"/>
  <c r="H92" i="3"/>
  <c r="H91" i="3" s="1"/>
  <c r="H95" i="3"/>
  <c r="E328" i="3"/>
  <c r="J330" i="3"/>
  <c r="I336" i="3"/>
  <c r="F389" i="3"/>
  <c r="F388" i="3" s="1"/>
  <c r="F387" i="3" s="1"/>
  <c r="G22" i="3"/>
  <c r="J331" i="3"/>
  <c r="D576" i="3"/>
  <c r="D574" i="3" s="1"/>
  <c r="D296" i="3"/>
  <c r="D46" i="3"/>
  <c r="J71" i="3"/>
  <c r="F236" i="3"/>
  <c r="F243" i="3"/>
  <c r="J377" i="3"/>
  <c r="H369" i="3"/>
  <c r="H376" i="3"/>
  <c r="E560" i="3"/>
  <c r="E556" i="3" s="1"/>
  <c r="D564" i="3"/>
  <c r="E562" i="3"/>
  <c r="J166" i="3"/>
  <c r="D166" i="3"/>
  <c r="E345" i="3"/>
  <c r="E368" i="3"/>
  <c r="G606" i="3"/>
  <c r="D607" i="3"/>
  <c r="D606" i="3" s="1"/>
  <c r="D117" i="3"/>
  <c r="H116" i="3"/>
  <c r="H115" i="3" s="1"/>
  <c r="D80" i="3"/>
  <c r="J80" i="3"/>
  <c r="J122" i="3"/>
  <c r="D122" i="3"/>
  <c r="D126" i="3"/>
  <c r="D188" i="3"/>
  <c r="J188" i="3"/>
  <c r="J204" i="3"/>
  <c r="D204" i="3"/>
  <c r="H494" i="3"/>
  <c r="J174" i="3"/>
  <c r="D589" i="3"/>
  <c r="D586" i="3" s="1"/>
  <c r="E63" i="3"/>
  <c r="J63" i="3" s="1"/>
  <c r="I620" i="3"/>
  <c r="D620" i="3" s="1"/>
  <c r="D214" i="3"/>
  <c r="D211" i="3" s="1"/>
  <c r="E561" i="3"/>
  <c r="E557" i="3" s="1"/>
  <c r="J223" i="3"/>
  <c r="D377" i="3"/>
  <c r="D73" i="3"/>
  <c r="J73" i="3"/>
  <c r="D177" i="3"/>
  <c r="J177" i="3"/>
  <c r="D201" i="3"/>
  <c r="E199" i="3"/>
  <c r="J199" i="3" s="1"/>
  <c r="D507" i="3"/>
  <c r="D495" i="3" s="1"/>
  <c r="E495" i="3"/>
  <c r="J135" i="3"/>
  <c r="D590" i="3"/>
  <c r="D642" i="3"/>
  <c r="J58" i="3"/>
  <c r="D58" i="3"/>
  <c r="D145" i="3"/>
  <c r="J145" i="3"/>
  <c r="D600" i="3"/>
  <c r="D598" i="3" s="1"/>
  <c r="E598" i="3"/>
  <c r="J380" i="3"/>
  <c r="E103" i="3"/>
  <c r="J103" i="3" s="1"/>
  <c r="E183" i="3"/>
  <c r="J183" i="3" s="1"/>
  <c r="J86" i="3"/>
  <c r="J89" i="3"/>
  <c r="J106" i="3"/>
  <c r="J201" i="3"/>
  <c r="H238" i="3"/>
  <c r="H235" i="3" s="1"/>
  <c r="F252" i="3"/>
  <c r="J256" i="3"/>
  <c r="D300" i="3"/>
  <c r="J408" i="3"/>
  <c r="G541" i="3"/>
  <c r="F541" i="3" s="1"/>
  <c r="E541" i="3" s="1"/>
  <c r="D541" i="3" s="1"/>
  <c r="G27" i="3"/>
  <c r="E31" i="3"/>
  <c r="J31" i="3" s="1"/>
  <c r="D59" i="3"/>
  <c r="E87" i="3"/>
  <c r="D113" i="3"/>
  <c r="D135" i="3"/>
  <c r="J216" i="3"/>
  <c r="D219" i="3"/>
  <c r="D253" i="3"/>
  <c r="D255" i="3"/>
  <c r="D247" i="3" s="1"/>
  <c r="D260" i="3"/>
  <c r="J324" i="3"/>
  <c r="J332" i="3"/>
  <c r="J348" i="3"/>
  <c r="H384" i="3"/>
  <c r="G494" i="3"/>
  <c r="F510" i="3"/>
  <c r="D634" i="3"/>
  <c r="D646" i="3"/>
  <c r="D650" i="3"/>
  <c r="E131" i="3"/>
  <c r="J131" i="3" s="1"/>
  <c r="D223" i="3"/>
  <c r="H252" i="3"/>
  <c r="J312" i="3"/>
  <c r="J316" i="3"/>
  <c r="D348" i="3"/>
  <c r="D332" i="3" s="1"/>
  <c r="D352" i="3"/>
  <c r="J356" i="3"/>
  <c r="I494" i="3"/>
  <c r="D522" i="3"/>
  <c r="D570" i="3"/>
  <c r="D578" i="3"/>
  <c r="D582" i="3"/>
  <c r="D638" i="3"/>
  <c r="G338" i="3"/>
  <c r="J338" i="3" s="1"/>
  <c r="J346" i="3"/>
  <c r="F385" i="3"/>
  <c r="G610" i="3"/>
  <c r="D611" i="3"/>
  <c r="D610" i="3" s="1"/>
  <c r="G43" i="3"/>
  <c r="J45" i="3"/>
  <c r="D45" i="3"/>
  <c r="D54" i="3"/>
  <c r="J54" i="3"/>
  <c r="E51" i="3"/>
  <c r="J76" i="3"/>
  <c r="D76" i="3"/>
  <c r="E75" i="3"/>
  <c r="J75" i="3" s="1"/>
  <c r="E518" i="3"/>
  <c r="D519" i="3"/>
  <c r="D518" i="3" s="1"/>
  <c r="H542" i="3"/>
  <c r="E151" i="3"/>
  <c r="J151" i="3" s="1"/>
  <c r="H24" i="3"/>
  <c r="D81" i="3"/>
  <c r="J81" i="3"/>
  <c r="E79" i="3"/>
  <c r="J79" i="3" s="1"/>
  <c r="E143" i="3"/>
  <c r="J143" i="3" s="1"/>
  <c r="D144" i="3"/>
  <c r="J144" i="3"/>
  <c r="D154" i="3"/>
  <c r="J154" i="3"/>
  <c r="J165" i="3"/>
  <c r="D165" i="3"/>
  <c r="E163" i="3"/>
  <c r="J163" i="3" s="1"/>
  <c r="E175" i="3"/>
  <c r="J175" i="3" s="1"/>
  <c r="J176" i="3"/>
  <c r="D176" i="3"/>
  <c r="G252" i="3"/>
  <c r="J254" i="3"/>
  <c r="E284" i="3"/>
  <c r="J284" i="3" s="1"/>
  <c r="D285" i="3"/>
  <c r="D284" i="3" s="1"/>
  <c r="J305" i="3"/>
  <c r="D305" i="3"/>
  <c r="D304" i="3" s="1"/>
  <c r="G304" i="3"/>
  <c r="J304" i="3" s="1"/>
  <c r="I546" i="3"/>
  <c r="H548" i="3"/>
  <c r="H552" i="3"/>
  <c r="G552" i="3" s="1"/>
  <c r="I550" i="3"/>
  <c r="D595" i="3"/>
  <c r="D594" i="3" s="1"/>
  <c r="E594" i="3"/>
  <c r="D605" i="3"/>
  <c r="D602" i="3" s="1"/>
  <c r="G602" i="3"/>
  <c r="G614" i="3"/>
  <c r="D616" i="3"/>
  <c r="D614" i="3" s="1"/>
  <c r="D624" i="3"/>
  <c r="J370" i="3"/>
  <c r="J57" i="3"/>
  <c r="D57" i="3"/>
  <c r="J102" i="3"/>
  <c r="D102" i="3"/>
  <c r="D108" i="3"/>
  <c r="E107" i="3"/>
  <c r="J107" i="3" s="1"/>
  <c r="D146" i="3"/>
  <c r="J146" i="3"/>
  <c r="D168" i="3"/>
  <c r="E167" i="3"/>
  <c r="J167" i="3" s="1"/>
  <c r="J168" i="3"/>
  <c r="D178" i="3"/>
  <c r="J178" i="3"/>
  <c r="G280" i="3"/>
  <c r="J280" i="3" s="1"/>
  <c r="G273" i="3"/>
  <c r="E347" i="3"/>
  <c r="G623" i="3"/>
  <c r="G630" i="3"/>
  <c r="D631" i="3"/>
  <c r="E39" i="3"/>
  <c r="D41" i="3"/>
  <c r="D100" i="3"/>
  <c r="E99" i="3"/>
  <c r="D101" i="3"/>
  <c r="J101" i="3"/>
  <c r="E147" i="3"/>
  <c r="J147" i="3" s="1"/>
  <c r="D149" i="3"/>
  <c r="J149" i="3"/>
  <c r="E159" i="3"/>
  <c r="J159" i="3" s="1"/>
  <c r="D160" i="3"/>
  <c r="J160" i="3"/>
  <c r="J170" i="3"/>
  <c r="D170" i="3"/>
  <c r="J184" i="3"/>
  <c r="E180" i="3"/>
  <c r="E96" i="3" s="1"/>
  <c r="E195" i="3"/>
  <c r="J195" i="3" s="1"/>
  <c r="J197" i="3"/>
  <c r="J208" i="3"/>
  <c r="D208" i="3"/>
  <c r="E207" i="3"/>
  <c r="J207" i="3" s="1"/>
  <c r="G215" i="3"/>
  <c r="D216" i="3"/>
  <c r="E243" i="3"/>
  <c r="E236" i="3"/>
  <c r="E237" i="3"/>
  <c r="H233" i="3"/>
  <c r="H231" i="3" s="1"/>
  <c r="H243" i="3"/>
  <c r="D383" i="3"/>
  <c r="D371" i="3" s="1"/>
  <c r="J383" i="3"/>
  <c r="F371" i="3"/>
  <c r="E531" i="3"/>
  <c r="D535" i="3"/>
  <c r="E534" i="3"/>
  <c r="D633" i="3"/>
  <c r="G625" i="3"/>
  <c r="G55" i="3"/>
  <c r="J55" i="3" s="1"/>
  <c r="D118" i="3"/>
  <c r="D281" i="3"/>
  <c r="D280" i="3" s="1"/>
  <c r="E252" i="3"/>
  <c r="J61" i="3"/>
  <c r="J253" i="3"/>
  <c r="G98" i="3"/>
  <c r="G94" i="3" s="1"/>
  <c r="J105" i="3"/>
  <c r="J108" i="3"/>
  <c r="J110" i="3"/>
  <c r="D112" i="3"/>
  <c r="D114" i="3"/>
  <c r="J121" i="3"/>
  <c r="J124" i="3"/>
  <c r="J126" i="3"/>
  <c r="J132" i="3"/>
  <c r="J134" i="3"/>
  <c r="D463" i="3"/>
  <c r="D78" i="3"/>
  <c r="J78" i="3"/>
  <c r="E22" i="3"/>
  <c r="G97" i="3"/>
  <c r="G99" i="3"/>
  <c r="D157" i="3"/>
  <c r="E155" i="3"/>
  <c r="J155" i="3" s="1"/>
  <c r="J157" i="3"/>
  <c r="J192" i="3"/>
  <c r="D192" i="3"/>
  <c r="D191" i="3" s="1"/>
  <c r="E191" i="3"/>
  <c r="J191" i="3" s="1"/>
  <c r="E203" i="3"/>
  <c r="J203" i="3" s="1"/>
  <c r="D205" i="3"/>
  <c r="J205" i="3"/>
  <c r="G389" i="3"/>
  <c r="G386" i="3"/>
  <c r="F540" i="3"/>
  <c r="D42" i="3"/>
  <c r="J42" i="3"/>
  <c r="E43" i="3"/>
  <c r="D44" i="3"/>
  <c r="D141" i="3"/>
  <c r="J141" i="3"/>
  <c r="E139" i="3"/>
  <c r="J139" i="3" s="1"/>
  <c r="D152" i="3"/>
  <c r="D151" i="3" s="1"/>
  <c r="J152" i="3"/>
  <c r="J162" i="3"/>
  <c r="D162" i="3"/>
  <c r="E171" i="3"/>
  <c r="J171" i="3" s="1"/>
  <c r="D173" i="3"/>
  <c r="D171" i="3" s="1"/>
  <c r="J173" i="3"/>
  <c r="G238" i="3"/>
  <c r="G234" i="3"/>
  <c r="G231" i="3" s="1"/>
  <c r="J246" i="3"/>
  <c r="I252" i="3"/>
  <c r="I245" i="3"/>
  <c r="J392" i="3"/>
  <c r="E391" i="3"/>
  <c r="D505" i="3"/>
  <c r="D502" i="3" s="1"/>
  <c r="E497" i="3"/>
  <c r="E502" i="3"/>
  <c r="E494" i="3" s="1"/>
  <c r="E550" i="3"/>
  <c r="D553" i="3"/>
  <c r="J396" i="3"/>
  <c r="J32" i="3"/>
  <c r="J118" i="3"/>
  <c r="H412" i="3"/>
  <c r="E123" i="3"/>
  <c r="J123" i="3" s="1"/>
  <c r="E111" i="3"/>
  <c r="E24" i="3"/>
  <c r="G39" i="3"/>
  <c r="J40" i="3"/>
  <c r="D40" i="3"/>
  <c r="J48" i="3"/>
  <c r="D48" i="3"/>
  <c r="D64" i="3"/>
  <c r="J64" i="3"/>
  <c r="J186" i="3"/>
  <c r="D186" i="3"/>
  <c r="D183" i="3" s="1"/>
  <c r="G288" i="3"/>
  <c r="J288" i="3" s="1"/>
  <c r="D290" i="3"/>
  <c r="D288" i="3" s="1"/>
  <c r="G274" i="3"/>
  <c r="J290" i="3"/>
  <c r="E296" i="3"/>
  <c r="J296" i="3" s="1"/>
  <c r="J297" i="3"/>
  <c r="D527" i="3"/>
  <c r="D526" i="3" s="1"/>
  <c r="E526" i="3"/>
  <c r="I561" i="3"/>
  <c r="I557" i="3" s="1"/>
  <c r="I621" i="3"/>
  <c r="J313" i="3"/>
  <c r="D293" i="3"/>
  <c r="D292" i="3" s="1"/>
  <c r="J255" i="3"/>
  <c r="J260" i="3"/>
  <c r="J281" i="3"/>
  <c r="J364" i="3"/>
  <c r="D364" i="3"/>
  <c r="D448" i="3"/>
  <c r="F494" i="3"/>
  <c r="J34" i="3"/>
  <c r="D34" i="3"/>
  <c r="D85" i="3"/>
  <c r="D83" i="3" s="1"/>
  <c r="E83" i="3"/>
  <c r="J83" i="3" s="1"/>
  <c r="J85" i="3"/>
  <c r="I96" i="3"/>
  <c r="I179" i="3"/>
  <c r="E187" i="3"/>
  <c r="J187" i="3" s="1"/>
  <c r="E181" i="3"/>
  <c r="E97" i="3" s="1"/>
  <c r="J189" i="3"/>
  <c r="D202" i="3"/>
  <c r="D199" i="3" s="1"/>
  <c r="J202" i="3"/>
  <c r="E211" i="3"/>
  <c r="J211" i="3" s="1"/>
  <c r="J213" i="3"/>
  <c r="J217" i="3"/>
  <c r="D217" i="3"/>
  <c r="I234" i="3"/>
  <c r="I238" i="3"/>
  <c r="D275" i="3"/>
  <c r="J275" i="3"/>
  <c r="D404" i="3"/>
  <c r="J404" i="3"/>
  <c r="D537" i="3"/>
  <c r="F561" i="3"/>
  <c r="F557" i="3" s="1"/>
  <c r="F622" i="3"/>
  <c r="F558" i="3" s="1"/>
  <c r="F554" i="3" s="1"/>
  <c r="D628" i="3"/>
  <c r="D626" i="3" s="1"/>
  <c r="G626" i="3"/>
  <c r="J33" i="3"/>
  <c r="J87" i="3"/>
  <c r="D246" i="3"/>
  <c r="D234" i="3" s="1"/>
  <c r="E273" i="3"/>
  <c r="J320" i="3"/>
  <c r="D545" i="3"/>
  <c r="H654" i="3"/>
  <c r="D656" i="3"/>
  <c r="D654" i="3" s="1"/>
  <c r="D47" i="3" l="1"/>
  <c r="J111" i="3"/>
  <c r="F16" i="3"/>
  <c r="D123" i="3"/>
  <c r="D562" i="3"/>
  <c r="D63" i="3"/>
  <c r="D147" i="3"/>
  <c r="D107" i="3"/>
  <c r="D560" i="3"/>
  <c r="D556" i="3" s="1"/>
  <c r="D71" i="3"/>
  <c r="E98" i="3"/>
  <c r="E94" i="3" s="1"/>
  <c r="J94" i="3" s="1"/>
  <c r="D119" i="3"/>
  <c r="J115" i="3"/>
  <c r="E558" i="3"/>
  <c r="E554" i="3" s="1"/>
  <c r="G19" i="3"/>
  <c r="F12" i="3"/>
  <c r="D328" i="3"/>
  <c r="G336" i="3"/>
  <c r="D43" i="3"/>
  <c r="D203" i="3"/>
  <c r="D163" i="3"/>
  <c r="D55" i="3"/>
  <c r="D31" i="3"/>
  <c r="J274" i="3"/>
  <c r="D252" i="3"/>
  <c r="D139" i="3"/>
  <c r="J215" i="3"/>
  <c r="D207" i="3"/>
  <c r="G344" i="3"/>
  <c r="G368" i="3"/>
  <c r="J51" i="3"/>
  <c r="D51" i="3"/>
  <c r="D116" i="3"/>
  <c r="D187" i="3"/>
  <c r="J376" i="3"/>
  <c r="F91" i="3"/>
  <c r="J116" i="3"/>
  <c r="D380" i="3"/>
  <c r="D338" i="3"/>
  <c r="D39" i="3"/>
  <c r="H12" i="3"/>
  <c r="D79" i="3"/>
  <c r="H622" i="3"/>
  <c r="H558" i="3" s="1"/>
  <c r="H554" i="3" s="1"/>
  <c r="H559" i="3"/>
  <c r="H555" i="3" s="1"/>
  <c r="D274" i="3"/>
  <c r="I36" i="3"/>
  <c r="J37" i="3"/>
  <c r="D37" i="3"/>
  <c r="J328" i="3"/>
  <c r="D496" i="3"/>
  <c r="G18" i="3"/>
  <c r="D99" i="3"/>
  <c r="D630" i="3"/>
  <c r="D506" i="3"/>
  <c r="D494" i="3" s="1"/>
  <c r="D376" i="3"/>
  <c r="D369" i="3"/>
  <c r="D345" i="3" s="1"/>
  <c r="E337" i="3"/>
  <c r="H345" i="3"/>
  <c r="J345" i="3" s="1"/>
  <c r="H368" i="3"/>
  <c r="F232" i="3"/>
  <c r="F231" i="3" s="1"/>
  <c r="F235" i="3"/>
  <c r="J98" i="3"/>
  <c r="E533" i="3"/>
  <c r="D533" i="3" s="1"/>
  <c r="G538" i="3"/>
  <c r="D155" i="3"/>
  <c r="J369" i="3"/>
  <c r="J97" i="3"/>
  <c r="D97" i="3"/>
  <c r="D93" i="3" s="1"/>
  <c r="E93" i="3"/>
  <c r="D96" i="3"/>
  <c r="E92" i="3"/>
  <c r="J96" i="3"/>
  <c r="I233" i="3"/>
  <c r="I244" i="3"/>
  <c r="D245" i="3"/>
  <c r="D233" i="3" s="1"/>
  <c r="I237" i="3"/>
  <c r="D237" i="3" s="1"/>
  <c r="D238" i="3"/>
  <c r="J238" i="3"/>
  <c r="G235" i="3"/>
  <c r="F538" i="3"/>
  <c r="E540" i="3"/>
  <c r="G561" i="3"/>
  <c r="G557" i="3" s="1"/>
  <c r="D625" i="3"/>
  <c r="D561" i="3" s="1"/>
  <c r="D557" i="3" s="1"/>
  <c r="D531" i="3"/>
  <c r="F15" i="3"/>
  <c r="G622" i="3"/>
  <c r="G558" i="3" s="1"/>
  <c r="G554" i="3" s="1"/>
  <c r="D623" i="3"/>
  <c r="G559" i="3"/>
  <c r="G555" i="3" s="1"/>
  <c r="G550" i="3"/>
  <c r="F552" i="3"/>
  <c r="D347" i="3"/>
  <c r="H550" i="3"/>
  <c r="J234" i="3"/>
  <c r="D534" i="3"/>
  <c r="D215" i="3"/>
  <c r="D159" i="3"/>
  <c r="G272" i="3"/>
  <c r="D497" i="3"/>
  <c r="D143" i="3"/>
  <c r="D75" i="3"/>
  <c r="D115" i="3"/>
  <c r="D181" i="3"/>
  <c r="J181" i="3"/>
  <c r="D621" i="3"/>
  <c r="D618" i="3" s="1"/>
  <c r="I618" i="3"/>
  <c r="E20" i="3"/>
  <c r="E23" i="3"/>
  <c r="D391" i="3"/>
  <c r="D387" i="3" s="1"/>
  <c r="J391" i="3"/>
  <c r="E390" i="3"/>
  <c r="G385" i="3"/>
  <c r="G388" i="3"/>
  <c r="G387" i="3" s="1"/>
  <c r="E18" i="3"/>
  <c r="D180" i="3"/>
  <c r="D179" i="3" s="1"/>
  <c r="E179" i="3"/>
  <c r="J179" i="3" s="1"/>
  <c r="J180" i="3"/>
  <c r="E339" i="3"/>
  <c r="E344" i="3"/>
  <c r="H23" i="3"/>
  <c r="H20" i="3"/>
  <c r="F544" i="3"/>
  <c r="G542" i="3"/>
  <c r="E272" i="3"/>
  <c r="J273" i="3"/>
  <c r="D273" i="3"/>
  <c r="D272" i="3" s="1"/>
  <c r="I92" i="3"/>
  <c r="I91" i="3" s="1"/>
  <c r="I95" i="3"/>
  <c r="G93" i="3"/>
  <c r="G95" i="3"/>
  <c r="F368" i="3"/>
  <c r="J368" i="3" s="1"/>
  <c r="F347" i="3"/>
  <c r="J347" i="3" s="1"/>
  <c r="E232" i="3"/>
  <c r="E235" i="3"/>
  <c r="G548" i="3"/>
  <c r="H546" i="3"/>
  <c r="J245" i="3"/>
  <c r="J99" i="3"/>
  <c r="J39" i="3"/>
  <c r="D175" i="3"/>
  <c r="J43" i="3"/>
  <c r="D111" i="3"/>
  <c r="J252" i="3"/>
  <c r="J233" i="3"/>
  <c r="J371" i="3"/>
  <c r="D167" i="3"/>
  <c r="E515" i="3"/>
  <c r="F384" i="3"/>
  <c r="D344" i="3" l="1"/>
  <c r="D98" i="3"/>
  <c r="D94" i="3" s="1"/>
  <c r="E95" i="3"/>
  <c r="D368" i="3"/>
  <c r="F11" i="3"/>
  <c r="E517" i="3"/>
  <c r="E513" i="3" s="1"/>
  <c r="G13" i="3"/>
  <c r="J36" i="3"/>
  <c r="D36" i="3"/>
  <c r="D35" i="3" s="1"/>
  <c r="I35" i="3"/>
  <c r="H337" i="3"/>
  <c r="H336" i="3" s="1"/>
  <c r="H344" i="3"/>
  <c r="G15" i="3"/>
  <c r="J272" i="3"/>
  <c r="J95" i="3"/>
  <c r="F542" i="3"/>
  <c r="D544" i="3"/>
  <c r="D542" i="3" s="1"/>
  <c r="G384" i="3"/>
  <c r="G11" i="3"/>
  <c r="F548" i="3"/>
  <c r="G546" i="3"/>
  <c r="D622" i="3"/>
  <c r="D558" i="3" s="1"/>
  <c r="D554" i="3" s="1"/>
  <c r="D559" i="3"/>
  <c r="D555" i="3" s="1"/>
  <c r="D517" i="3"/>
  <c r="D513" i="3" s="1"/>
  <c r="J92" i="3"/>
  <c r="E91" i="3"/>
  <c r="D515" i="3"/>
  <c r="E511" i="3"/>
  <c r="F339" i="3"/>
  <c r="D339" i="3" s="1"/>
  <c r="F344" i="3"/>
  <c r="G12" i="3"/>
  <c r="G91" i="3"/>
  <c r="I243" i="3"/>
  <c r="J243" i="3" s="1"/>
  <c r="J244" i="3"/>
  <c r="I236" i="3"/>
  <c r="D244" i="3"/>
  <c r="D243" i="3" s="1"/>
  <c r="J93" i="3"/>
  <c r="J237" i="3"/>
  <c r="H16" i="3"/>
  <c r="H19" i="3"/>
  <c r="E386" i="3"/>
  <c r="J386" i="3" s="1"/>
  <c r="E389" i="3"/>
  <c r="D390" i="3"/>
  <c r="D386" i="3" s="1"/>
  <c r="J390" i="3"/>
  <c r="D540" i="3"/>
  <c r="D538" i="3" s="1"/>
  <c r="E532" i="3"/>
  <c r="E538" i="3"/>
  <c r="E231" i="3"/>
  <c r="J339" i="3"/>
  <c r="E336" i="3"/>
  <c r="E16" i="3"/>
  <c r="E19" i="3"/>
  <c r="D552" i="3"/>
  <c r="D550" i="3" s="1"/>
  <c r="F550" i="3"/>
  <c r="D92" i="3"/>
  <c r="D95" i="3"/>
  <c r="D91" i="3" l="1"/>
  <c r="D337" i="3"/>
  <c r="D336" i="3" s="1"/>
  <c r="I30" i="3"/>
  <c r="J35" i="3"/>
  <c r="J337" i="3"/>
  <c r="J344" i="3"/>
  <c r="E516" i="3"/>
  <c r="D532" i="3"/>
  <c r="D530" i="3" s="1"/>
  <c r="E530" i="3"/>
  <c r="E514" i="3" s="1"/>
  <c r="I232" i="3"/>
  <c r="I235" i="3"/>
  <c r="J235" i="3" s="1"/>
  <c r="J236" i="3"/>
  <c r="D236" i="3"/>
  <c r="J91" i="3"/>
  <c r="G10" i="3"/>
  <c r="J389" i="3"/>
  <c r="E388" i="3"/>
  <c r="D389" i="3"/>
  <c r="E385" i="3"/>
  <c r="E11" i="3" s="1"/>
  <c r="E15" i="3"/>
  <c r="F546" i="3"/>
  <c r="D548" i="3"/>
  <c r="D546" i="3" s="1"/>
  <c r="H11" i="3"/>
  <c r="H10" i="3" s="1"/>
  <c r="H15" i="3"/>
  <c r="F336" i="3"/>
  <c r="J336" i="3" s="1"/>
  <c r="F13" i="3"/>
  <c r="F10" i="3" s="1"/>
  <c r="D511" i="3"/>
  <c r="J30" i="3" l="1"/>
  <c r="D30" i="3"/>
  <c r="I29" i="3"/>
  <c r="I26" i="3"/>
  <c r="D388" i="3"/>
  <c r="D385" i="3"/>
  <c r="D384" i="3" s="1"/>
  <c r="E512" i="3"/>
  <c r="D516" i="3"/>
  <c r="J385" i="3"/>
  <c r="D232" i="3"/>
  <c r="D231" i="3" s="1"/>
  <c r="D235" i="3"/>
  <c r="E387" i="3"/>
  <c r="J388" i="3"/>
  <c r="I231" i="3"/>
  <c r="J231" i="3" s="1"/>
  <c r="J232" i="3"/>
  <c r="I22" i="3" l="1"/>
  <c r="D26" i="3"/>
  <c r="J26" i="3"/>
  <c r="I28" i="3"/>
  <c r="J29" i="3"/>
  <c r="D29" i="3"/>
  <c r="D512" i="3"/>
  <c r="D510" i="3" s="1"/>
  <c r="D514" i="3"/>
  <c r="J387" i="3"/>
  <c r="E13" i="3"/>
  <c r="E384" i="3"/>
  <c r="J384" i="3" s="1"/>
  <c r="E12" i="3"/>
  <c r="E510" i="3"/>
  <c r="I24" i="3" l="1"/>
  <c r="I27" i="3"/>
  <c r="J28" i="3"/>
  <c r="D28" i="3"/>
  <c r="D27" i="3" s="1"/>
  <c r="I18" i="3"/>
  <c r="D22" i="3"/>
  <c r="D18" i="3" s="1"/>
  <c r="D13" i="3" s="1"/>
  <c r="J22" i="3"/>
  <c r="E10" i="3"/>
  <c r="I13" i="3" l="1"/>
  <c r="J13" i="3" s="1"/>
  <c r="J18" i="3"/>
  <c r="D24" i="3"/>
  <c r="I20" i="3"/>
  <c r="J24" i="3"/>
  <c r="J27" i="3"/>
  <c r="I25" i="3"/>
  <c r="I21" i="3" l="1"/>
  <c r="I19" i="3" s="1"/>
  <c r="J19" i="3" s="1"/>
  <c r="J25" i="3"/>
  <c r="D25" i="3"/>
  <c r="D23" i="3" s="1"/>
  <c r="I23" i="3"/>
  <c r="J23" i="3" s="1"/>
  <c r="J20" i="3"/>
  <c r="I16" i="3"/>
  <c r="D20" i="3"/>
  <c r="I11" i="3" l="1"/>
  <c r="J16" i="3"/>
  <c r="D16" i="3"/>
  <c r="I17" i="3"/>
  <c r="I15" i="3" s="1"/>
  <c r="J15" i="3" s="1"/>
  <c r="J21" i="3"/>
  <c r="D21" i="3"/>
  <c r="D17" i="3" s="1"/>
  <c r="D12" i="3" s="1"/>
  <c r="D19" i="3" l="1"/>
  <c r="I12" i="3"/>
  <c r="J12" i="3" s="1"/>
  <c r="J17" i="3"/>
  <c r="D15" i="3"/>
  <c r="D11" i="3"/>
  <c r="D10" i="3" s="1"/>
  <c r="J11" i="3"/>
  <c r="I10" i="3" l="1"/>
  <c r="J10" i="3" s="1"/>
  <c r="J1045" i="11" l="1"/>
  <c r="J1033" i="11" l="1"/>
  <c r="J21" i="11"/>
  <c r="J9" i="11" s="1"/>
  <c r="I1045" i="11"/>
  <c r="I1033" i="11" l="1"/>
  <c r="I21" i="11"/>
  <c r="I9" i="11" s="1"/>
  <c r="H1045" i="11"/>
  <c r="G1045" i="11" l="1"/>
  <c r="H21" i="11"/>
  <c r="H9" i="11" s="1"/>
  <c r="H1033" i="11"/>
  <c r="G1033" i="11" l="1"/>
  <c r="K1033" i="11" s="1"/>
  <c r="G21" i="11"/>
  <c r="K21" i="11" l="1"/>
  <c r="G9" i="11"/>
  <c r="K9" i="11" s="1"/>
  <c r="L9" i="11" s="1"/>
  <c r="E323" i="12"/>
  <c r="J324" i="12"/>
  <c r="J290" i="12" s="1"/>
  <c r="J288" i="12" s="1"/>
  <c r="H324" i="12"/>
  <c r="H290" i="12" s="1"/>
  <c r="H288" i="12" s="1"/>
  <c r="I324" i="12"/>
  <c r="I290" i="12" s="1"/>
  <c r="I288" i="12" s="1"/>
  <c r="G324" i="12"/>
  <c r="L21" i="11" l="1"/>
  <c r="K22" i="11"/>
  <c r="E324" i="12"/>
  <c r="E290" i="12" s="1"/>
  <c r="K324" i="12"/>
  <c r="G290" i="12"/>
  <c r="G288" i="12" s="1"/>
  <c r="I11" i="12"/>
  <c r="J11" i="12"/>
  <c r="H11" i="12"/>
  <c r="J1058" i="12"/>
  <c r="J1046" i="12" s="1"/>
  <c r="E288" i="12" l="1"/>
  <c r="E11" i="12"/>
  <c r="E9" i="12" s="1"/>
  <c r="J21" i="12"/>
  <c r="J9" i="12" s="1"/>
  <c r="K290" i="12"/>
  <c r="K288" i="12"/>
  <c r="G11" i="12"/>
  <c r="K11" i="12" s="1"/>
  <c r="I1058" i="12"/>
  <c r="I21" i="12" l="1"/>
  <c r="I9" i="12" s="1"/>
  <c r="I1046" i="12"/>
  <c r="H1058" i="12"/>
  <c r="H21" i="12" l="1"/>
  <c r="H9" i="12" s="1"/>
  <c r="G1058" i="12"/>
  <c r="H1046" i="12"/>
  <c r="G1046" i="12" l="1"/>
  <c r="G21" i="12"/>
  <c r="K21" i="12" l="1"/>
  <c r="G9" i="12"/>
  <c r="K1046" i="12"/>
  <c r="K9" i="12" l="1"/>
</calcChain>
</file>

<file path=xl/comments1.xml><?xml version="1.0" encoding="utf-8"?>
<comments xmlns="http://schemas.openxmlformats.org/spreadsheetml/2006/main">
  <authors>
    <author>Мельник Н.А.</author>
  </authors>
  <commentList>
    <comment ref="H26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8026 млн.руб.</t>
        </r>
      </text>
    </comment>
    <comment ref="B654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доп. Проведение специальной оценки условий труда рабочих мест - 141383 руб. без учета изм. бюджета</t>
        </r>
      </text>
    </comment>
  </commentList>
</comments>
</file>

<file path=xl/comments2.xml><?xml version="1.0" encoding="utf-8"?>
<comments xmlns="http://schemas.openxmlformats.org/spreadsheetml/2006/main">
  <authors>
    <author>Мельник Н.А.</author>
    <author>Серебро</author>
  </authors>
  <commentList>
    <comment ref="E146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нет в бюджете</t>
        </r>
      </text>
    </comment>
    <comment ref="B167" authorId="1" shapeId="0">
      <text>
        <r>
          <rPr>
            <b/>
            <sz val="9"/>
            <color indexed="81"/>
            <rFont val="Tahoma"/>
            <family val="2"/>
            <charset val="204"/>
          </rPr>
          <t>Серебро:</t>
        </r>
        <r>
          <rPr>
            <sz val="9"/>
            <color indexed="81"/>
            <rFont val="Tahoma"/>
            <family val="2"/>
            <charset val="204"/>
          </rPr>
          <t xml:space="preserve">
по ЧС</t>
        </r>
      </text>
    </comment>
    <comment ref="D19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по программме</t>
        </r>
      </text>
    </comment>
    <comment ref="E30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в бюджете -0, в программе 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квл. куми</t>
        </r>
      </text>
    </comment>
    <comment ref="E39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нет смет, в бюджете не предусмотрены</t>
        </r>
      </text>
    </comment>
    <comment ref="J999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В БЮДЖЕТЕ НЕТ
</t>
        </r>
      </text>
    </comment>
    <comment ref="D1080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в программе 2021, в бюджет не включили</t>
        </r>
      </text>
    </comment>
  </commentList>
</comments>
</file>

<file path=xl/comments3.xml><?xml version="1.0" encoding="utf-8"?>
<comments xmlns="http://schemas.openxmlformats.org/spreadsheetml/2006/main">
  <authors>
    <author>Мельник Н.А.</author>
    <author>Серебро</author>
  </authors>
  <commentList>
    <comment ref="E147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нет в бюджете</t>
        </r>
      </text>
    </comment>
    <comment ref="B168" authorId="1" shapeId="0">
      <text>
        <r>
          <rPr>
            <b/>
            <sz val="9"/>
            <color indexed="81"/>
            <rFont val="Tahoma"/>
            <family val="2"/>
            <charset val="204"/>
          </rPr>
          <t>Серебро:</t>
        </r>
        <r>
          <rPr>
            <sz val="9"/>
            <color indexed="81"/>
            <rFont val="Tahoma"/>
            <family val="2"/>
            <charset val="204"/>
          </rPr>
          <t xml:space="preserve">
по ЧС</t>
        </r>
      </text>
    </comment>
    <comment ref="D191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по программме</t>
        </r>
      </text>
    </comment>
    <comment ref="E321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в бюджете -0, в программе </t>
        </r>
      </text>
    </comment>
    <comment ref="E407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нет смет, в бюджете не предусмотрены</t>
        </r>
      </text>
    </comment>
    <comment ref="J1012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В БЮДЖЕТЕ НЕТ
</t>
        </r>
      </text>
    </comment>
    <comment ref="D1093" authorId="0" shapeId="0">
      <text>
        <r>
          <rPr>
            <b/>
            <sz val="9"/>
            <color indexed="81"/>
            <rFont val="Tahoma"/>
            <family val="2"/>
            <charset val="204"/>
          </rPr>
          <t>Мельник Н.А.:</t>
        </r>
        <r>
          <rPr>
            <sz val="9"/>
            <color indexed="81"/>
            <rFont val="Tahoma"/>
            <family val="2"/>
            <charset val="204"/>
          </rPr>
          <t xml:space="preserve">
в программе 2021, в бюджет не включили</t>
        </r>
      </text>
    </comment>
  </commentList>
</comments>
</file>

<file path=xl/sharedStrings.xml><?xml version="1.0" encoding="utf-8"?>
<sst xmlns="http://schemas.openxmlformats.org/spreadsheetml/2006/main" count="2932" uniqueCount="1126">
  <si>
    <t>План мероприятий  перспективного развития муниципального образования "Тайшетский район" на 2015-2017 г.г</t>
  </si>
  <si>
    <t>федерального бюджета</t>
  </si>
  <si>
    <t>бюджета субъекта РФ</t>
  </si>
  <si>
    <t>бюджеты поселений</t>
  </si>
  <si>
    <t>1</t>
  </si>
  <si>
    <t>1.1.</t>
  </si>
  <si>
    <t>1.1.1.</t>
  </si>
  <si>
    <t>1.1.1.1.</t>
  </si>
  <si>
    <t xml:space="preserve"> Мероприятие: Обеспечение функционирования деятельности муниципальных образовательных организаций, реализующих программы дошкольного образования</t>
  </si>
  <si>
    <t>1.1.1.2.</t>
  </si>
  <si>
    <t xml:space="preserve"> Мероприятие: мероприятия по предотвращению распространения туберкулеза в образовательных организациях муниципального образования "Тайшетский район"</t>
  </si>
  <si>
    <t>1.1.1.3.</t>
  </si>
  <si>
    <t xml:space="preserve">Мероприятие: обеспечение пожарной безопасности в муниципальных образовательных организациях, реализующих программы дошкольного образования </t>
  </si>
  <si>
    <t>1.2.</t>
  </si>
  <si>
    <t>1.1.2.</t>
  </si>
  <si>
    <t>Подпрограмма "Развитие системы общего образования" на 2015-2017 годы</t>
  </si>
  <si>
    <t>1.1.2.1.</t>
  </si>
  <si>
    <t>Мероприятие: Обеспечение функционирования деятельности муниципальных образовательных организаций, реализующих программы начального общего, основного общего и среднего общего образования</t>
  </si>
  <si>
    <t>1.1.2.2.</t>
  </si>
  <si>
    <t>Мероприятие: Организация временного трудоустройства учащихся общеобразовательных организаций Тайшетского района в возрасте от 14 до 18 лет в свободное от учебы время</t>
  </si>
  <si>
    <t>1.1.2.3.</t>
  </si>
  <si>
    <t>Мероприятие: Организация отдыха и оздоровления детей в образовательных организациях муниципального образования "Тайшетский район" в каникулярное время</t>
  </si>
  <si>
    <t>1.1.2.4.</t>
  </si>
  <si>
    <t>Мероприятие: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</si>
  <si>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1.1.2.5.</t>
  </si>
  <si>
    <t xml:space="preserve"> Мероприятие: Обеспечение пожарной безопасности в муниципальных образовательных организациях,  реализующих программы начального общего, основного общего и среднего общего образования</t>
  </si>
  <si>
    <t>1.1.3.</t>
  </si>
  <si>
    <t>1.1.3.1.</t>
  </si>
  <si>
    <t xml:space="preserve"> Мероприятие: Обеспечение функционирования деятельности учреждений дополнительного образования</t>
  </si>
  <si>
    <t>1.1.3.2.</t>
  </si>
  <si>
    <t>Мероприятие: Обеспечение пожарной безопасности в учреждениях дополнительного образования</t>
  </si>
  <si>
    <t>1.1.4.</t>
  </si>
  <si>
    <t>1.1.4.1.</t>
  </si>
  <si>
    <t>Мероприятие: Организация, регулирование и контроль над деятельностью муниципальных образовательных учреждений Тайшетского района</t>
  </si>
  <si>
    <t>1.1.4.2.</t>
  </si>
  <si>
    <t>Мероприятие: Осуществление полномочий по ведению бухгалтерского и налогового учета, финансово-хозяйственной и экономической деятельности образовательных учреждений Тайшетского района</t>
  </si>
  <si>
    <t>1.1.4.3.</t>
  </si>
  <si>
    <t>Мероприятие: Осуществление полномочий по организационно-методическому сопровождению деятельности образовательных учреждений Тайшетского района</t>
  </si>
  <si>
    <t>2.</t>
  </si>
  <si>
    <t xml:space="preserve">Культура </t>
  </si>
  <si>
    <t>Муниципальная программа "Развитие культуры" на 2015-2017 годы</t>
  </si>
  <si>
    <t>2.1.1.</t>
  </si>
  <si>
    <t>Подпрограмма 1: "Развитие и сохранение культуры" на 2015-2017 годы</t>
  </si>
  <si>
    <t>2.1.1.1.</t>
  </si>
  <si>
    <t>Мероприятие: Повышение качества организации культурно-массовых мероприятий</t>
  </si>
  <si>
    <t>2.1.1.2.</t>
  </si>
  <si>
    <t>Мероприятие: Развитие библиотечного дела</t>
  </si>
  <si>
    <t>2.1.1.3.</t>
  </si>
  <si>
    <t>Мероприятие: Комплектование книжного фонда</t>
  </si>
  <si>
    <t>2.1.1.4.</t>
  </si>
  <si>
    <t>Мероприятие: Развитие музейного дела</t>
  </si>
  <si>
    <t>2.1.1.5.</t>
  </si>
  <si>
    <t>Мероприятие: Создание условий предоставления качественных услуг по реализации программ дополнительного образования детей</t>
  </si>
  <si>
    <t>2.1.2.</t>
  </si>
  <si>
    <t>Подпрограмма 2: "Развитие физической культуры и спорта" на 2015-2017 годы</t>
  </si>
  <si>
    <t>2.1.2.1.</t>
  </si>
  <si>
    <t>Мероприятие: Повышение качества организации спортивно-массовых мероприятий на территории муниципального образования "Тайшетский район"</t>
  </si>
  <si>
    <t>2.1.2.2.</t>
  </si>
  <si>
    <t>Мероприятие: Усиление взаимодействия Управления культуры с клубными формированиями в сфере спорта</t>
  </si>
  <si>
    <t>2.1.2.3.</t>
  </si>
  <si>
    <t>Создание условий для сохранения спортивного резерва в учреждениях дополнительного образования спортивной направленности</t>
  </si>
  <si>
    <t>2.1.3.</t>
  </si>
  <si>
    <t>Подпрограмма 3: "Молодёжь Тайшетского района" на 2015-2017 годы</t>
  </si>
  <si>
    <t>2.1.3.1.</t>
  </si>
  <si>
    <t>Мероприятие: Вовлечение молодёжи в общественную жизнь района, гражданско-патриотическое воспитание</t>
  </si>
  <si>
    <t>2.1.3.2.</t>
  </si>
  <si>
    <t>Мероприятие: Содействие трудовой занятости, поддержка молодёжного предпринимательства</t>
  </si>
  <si>
    <t>2.1.3.3.</t>
  </si>
  <si>
    <t>Мероприятие: Поддержка инициативной и талантливой молодёжи</t>
  </si>
  <si>
    <t>2.1.3.4.</t>
  </si>
  <si>
    <t>Мероприятие: Поддержка деятельности детских и молодёжных объединений</t>
  </si>
  <si>
    <t>2.1.4.</t>
  </si>
  <si>
    <t>Подпрограмма 4: "Профилактика правонарушений и преступлений" на 2015-2017 годы</t>
  </si>
  <si>
    <t>2.1.4.1.</t>
  </si>
  <si>
    <t>Мероприятие: Профилактика правонарушений и преступлений в молодёжной среде</t>
  </si>
  <si>
    <t>2.1.4.2.</t>
  </si>
  <si>
    <r>
      <t>Мероприятие: Издание печатной продукции, направленной на профилактику терроризма и чрезвычайных ситуаций, а т</t>
    </r>
    <r>
      <rPr>
        <sz val="11"/>
        <color indexed="8"/>
        <rFont val="Times New Roman"/>
        <family val="1"/>
        <charset val="204"/>
      </rPr>
      <t>а</t>
    </r>
    <r>
      <rPr>
        <sz val="10"/>
        <color indexed="8"/>
        <rFont val="Times New Roman"/>
        <family val="1"/>
        <charset val="204"/>
      </rPr>
      <t>к же разъясняющих действия населения при угрозе таковых</t>
    </r>
  </si>
  <si>
    <t>2.1.4.3.</t>
  </si>
  <si>
    <t>Мероприятие: Организация спортивной, досуговой работы по месту учёбы несовершеннолетних и молодёжи</t>
  </si>
  <si>
    <t>2.1.4.4.</t>
  </si>
  <si>
    <t>Мероприятие: Профилактика экстремизма на национальной и религиозной почве</t>
  </si>
  <si>
    <t>2.1.5.</t>
  </si>
  <si>
    <t>Подпрограмма 5: "Создание условий для эффективного использования средств местного бюджета, предоставляемых на поддержку культурной деятельности муниципальных учреждений культуры" на 2015-2017 годы</t>
  </si>
  <si>
    <t>2.1.5.1.</t>
  </si>
  <si>
    <t>Мероприятие: Обеспечение деятельности аппарата МУ "Управления культуры, спорта и молодёжной политики администрации Тайшетского района</t>
  </si>
  <si>
    <t>2.1.5.2.</t>
  </si>
  <si>
    <t xml:space="preserve">Мероприятие: Обеспечение деятельности МКУ "Централизованная бухгалтерия Управления </t>
  </si>
  <si>
    <t>2.1.5.3.</t>
  </si>
  <si>
    <t>Мероприятие: Обеспечение деятельности единой диспетчерской службы</t>
  </si>
  <si>
    <t>2.1.5.4.</t>
  </si>
  <si>
    <t>Мероприятие: Обеспечение деятельности муниципальных учреждений культуры, представляющих культурно-досуговые услуги: МБУК МРДК "Юбилейный", МКУК ЦКиД "Надежда"</t>
  </si>
  <si>
    <t>2.1.5.5.</t>
  </si>
  <si>
    <t>Мероприятие: Обеспечение деятельности образовательных учреждений дополнительного образования: МКОУ ДОД ДМШ №1 г.Тайшета; МКОУ ДОД ДМШ №2 г.Тайшета; МКОУ ДОД ТДХШ; МКОУ ДОД ДШИ г.Бирюсинска; МКОУ ДОД ЮДМШ</t>
  </si>
  <si>
    <t>2.1.5.6.</t>
  </si>
  <si>
    <t>Мероприятие: Обеспечение деятельности образовательных учреждений дополнительного образования: МБОУ ДОД ДЮСШ г.Тайшета; МБОУ ДОД ДЮСШ г.Бирюсинска</t>
  </si>
  <si>
    <t>2.1.5.7.</t>
  </si>
  <si>
    <t>Мероприятие: Обеспечение деятельности музеев: МКУК Районный краеведческий музей, МКУК  Краеведческий музей г.Бирюсинска</t>
  </si>
  <si>
    <t>2.1.5.8.</t>
  </si>
  <si>
    <t>Мероприятие: Обеспечение деятельности МКУК "Межпоселенческая библиотечная система Тайшетского района"</t>
  </si>
  <si>
    <t>2.1.6.</t>
  </si>
  <si>
    <t>Подпрограмма 6: "Организация  отдыха и оздоровления в учреждениях дополнительного образования сферы спорта в каникулярное время"</t>
  </si>
  <si>
    <t>2.1.6.1.</t>
  </si>
  <si>
    <t xml:space="preserve">Организация летнего отдыха и оздоровления детей </t>
  </si>
  <si>
    <t>2.1.6.2.</t>
  </si>
  <si>
    <t xml:space="preserve">Организация питания детей в лагере дневного пребывания </t>
  </si>
  <si>
    <t>2.1.6.3.</t>
  </si>
  <si>
    <t>Оснащение необходимым оборудованием лагеря дневного пребывания для отдыха и оздоровления детей</t>
  </si>
  <si>
    <t>3.</t>
  </si>
  <si>
    <t>Муниципальная программа "Молодым семьям - доступное жилье" на 2014-2017 годы</t>
  </si>
  <si>
    <t>3.1.1.</t>
  </si>
  <si>
    <t>Мероприятие: Участие в областном конкурсе муниципальных программ по обеспечению жильём молодых семей</t>
  </si>
  <si>
    <t>3.1.2.</t>
  </si>
  <si>
    <t>Мероприятие: Предоставление социальных выплат молодым семьям</t>
  </si>
  <si>
    <t>4.</t>
  </si>
  <si>
    <t>Транспорт, связь и дорожная служба</t>
  </si>
  <si>
    <t>Ремонт и восстановление   дорог  местного значения  между населенными пунктами</t>
  </si>
  <si>
    <t>Организация пригородных и междугородних автобусных маршрутов</t>
  </si>
  <si>
    <t>Строительство магистрального нефтепровода "Куюмба-Тайшет "             АКА "Транснефть"</t>
  </si>
  <si>
    <t>4.5.</t>
  </si>
  <si>
    <t>Реконструкция станции Тайшет ВСЖД филиала ОАО "РЖД"</t>
  </si>
  <si>
    <t>5.</t>
  </si>
  <si>
    <t>Градостроительство и архитектура</t>
  </si>
  <si>
    <t>Капитальный ремонт здания МДОУ детский сад "Рябинка"</t>
  </si>
  <si>
    <t>5.2.</t>
  </si>
  <si>
    <t>Капитальный ремонт здания МДОУ детский сад "Ромашка"</t>
  </si>
  <si>
    <t>5.3.</t>
  </si>
  <si>
    <t>Разработка, экспертиза  проектно-сметной документации на капитальный ремонт МОУ СОШ Тальская ( с.Талая)</t>
  </si>
  <si>
    <t>5.4.</t>
  </si>
  <si>
    <t>Строительство МОУ СОШ №10 на 520 мест г.Бирюсинск, ул.Дружбы, 18Б</t>
  </si>
  <si>
    <t>5.5.</t>
  </si>
  <si>
    <t>Экспертиза проектно-сметной документации на новое строительство  МОУ СОШ №10 на 520 мест г.Бирюсинск, ул.Дружбы, 18Б</t>
  </si>
  <si>
    <t>5.6.</t>
  </si>
  <si>
    <t>Берегоукрепительные работы на р.Бирюса в с.Талая</t>
  </si>
  <si>
    <t>5.7.</t>
  </si>
  <si>
    <t>Новое строительство детского сада на 110 мест г.Тайшет (ул.Зои Космодемьянской)</t>
  </si>
  <si>
    <t>5.8.</t>
  </si>
  <si>
    <t>Новое строительство детского сада на 110 мест г.Тайшет (ул.Свободы)</t>
  </si>
  <si>
    <t>5.9.</t>
  </si>
  <si>
    <t>Разработка проектно-сметной документации на новое строительство МОУ СОШ №3 г.Тайшет</t>
  </si>
  <si>
    <t>6.</t>
  </si>
  <si>
    <t>Жилищно-коммунальное хозяйство</t>
  </si>
  <si>
    <t>Реконструкция  центральной котельной и тепловых сетей в п.Новобирюсинский</t>
  </si>
  <si>
    <t xml:space="preserve">Строительство сетей водоснабжения от артезианской скважины до нового теплоисточника в г.Бирюсинске (420 м) </t>
  </si>
  <si>
    <t>Строительство высоковольтной электрической линии КЛ-6 кВ, 384 м., от ТП «Бирюса до встроенного в новый теплоисточник  ТП в г.Бирюсинске.</t>
  </si>
  <si>
    <t>Реконструкция  насосной станции котельной №2 ШПЗ для переключения 51 квартала города Тайшета от электрокотельной РЖД на теплоисточник ШПЗ</t>
  </si>
  <si>
    <t>6.5.</t>
  </si>
  <si>
    <t xml:space="preserve">Замена изоляции центрального ствола тепловой сети д.325мм. полиуретановыми сегментами длинной 400 метров в Юртинском городском поселении  </t>
  </si>
  <si>
    <t>7.</t>
  </si>
  <si>
    <t>Развитие отрасли свиноводства с полным циклом производства и переработки мяса в ООО СХП "Маяк" (ст.Тагул, Бирюсинское г/п)</t>
  </si>
  <si>
    <t>Муниципальная пограмма «Развитие сельского хозяйства и регулирование рынков сельскохозяйственной продукции, сырья и продовольствия» на 2014-2017 годы и на период до 2020 года</t>
  </si>
  <si>
    <t>7.2.1.</t>
  </si>
  <si>
    <t>Подпрограмма «Развитие сельского хозяйства на 2014-2017 годы и на период до 2020 года»</t>
  </si>
  <si>
    <t>7.2.1.2.</t>
  </si>
  <si>
    <t>Содействие в развитии подотрасли растениеводства</t>
  </si>
  <si>
    <t>7.2.1.3.</t>
  </si>
  <si>
    <t>Содействие в развитии подотрасли животноводства</t>
  </si>
  <si>
    <t>7.2.1.4.</t>
  </si>
  <si>
    <t>Содействие в развитии малых форм хозяйствования</t>
  </si>
  <si>
    <t>7.2.1.5.</t>
  </si>
  <si>
    <t xml:space="preserve">Содействие в повышении кадрового потенциала агропромышленного комплекса   </t>
  </si>
  <si>
    <t>7.2.2.</t>
  </si>
  <si>
    <t>Подпрограмма «Устойчивое развитие сельских территорий» на 2014-2017 годы  и на период до 2020 года</t>
  </si>
  <si>
    <t>7.2.2.1.</t>
  </si>
  <si>
    <t>Содействие в получении социальных выплат на строительство (приобретение) жилья, гражданам, проживающим в сельской местности Тайшетского района, в том числе молодым семьям и молодым специалистам</t>
  </si>
  <si>
    <t>7.2.2.2.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</si>
  <si>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</si>
  <si>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7.2.2.3.</t>
  </si>
  <si>
    <t xml:space="preserve">Развитие сети фельдшерско-акушерских пунктов и (или) офисов общей практики строительства ФАП в сельских поселениях Тайшетского района  </t>
  </si>
  <si>
    <t>8.</t>
  </si>
  <si>
    <t>Потребительский рынок</t>
  </si>
  <si>
    <t>8.1.</t>
  </si>
  <si>
    <t>Строительство торгового дома в г.Тайшет (ИП Гальчина)</t>
  </si>
  <si>
    <t>8.2.</t>
  </si>
  <si>
    <t>Строительство торгового дома в г.Тайшет (ООО "Континент")</t>
  </si>
  <si>
    <t>8.3.</t>
  </si>
  <si>
    <t>Строительство супермаркета в п.Квиток (ООО "Парус")</t>
  </si>
  <si>
    <t>8.4.</t>
  </si>
  <si>
    <t xml:space="preserve">  790,9 тыс.тонн в год аллюминия</t>
  </si>
  <si>
    <t>ООО "Транстехресурс"</t>
  </si>
  <si>
    <t>520 мест</t>
  </si>
  <si>
    <t>Наименование мероприятий и инвестпроектов</t>
  </si>
  <si>
    <t>Наименование МЦП, ОГЦП (ФЦП) и других механизмов, через которые планируется финансирование мероприятия</t>
  </si>
  <si>
    <t>Объем финансирования, млн.руб.</t>
  </si>
  <si>
    <t>Экономический эффект (прибыль, млн.руб.)</t>
  </si>
  <si>
    <t>Создаваемые рабочие места, ед</t>
  </si>
  <si>
    <t>Ответственный исполнитель</t>
  </si>
  <si>
    <t>ИТОГО ПО СТРАТЕГИИ</t>
  </si>
  <si>
    <t>Управление образования администрации Тайшетского района</t>
  </si>
  <si>
    <t xml:space="preserve"> (млн. рублей)</t>
  </si>
  <si>
    <t>№</t>
  </si>
  <si>
    <t>Наименование мероприятия</t>
  </si>
  <si>
    <t>Сроки реализации</t>
  </si>
  <si>
    <t>Общий объем финансирования</t>
  </si>
  <si>
    <t>в том числе</t>
  </si>
  <si>
    <t>местный бюджет</t>
  </si>
  <si>
    <t>планируемое привлечение средств из:</t>
  </si>
  <si>
    <t>внебюджетных источников</t>
  </si>
  <si>
    <t xml:space="preserve">ВСЕГО ПО ПРОЕКТАМ И ПРОГРАММАМ, ПРЕДЛАГАЕМЫМ ДЛЯ ФИНАНСИРОВАНИЯ </t>
  </si>
  <si>
    <t>Всего</t>
  </si>
  <si>
    <t>2.1.</t>
  </si>
  <si>
    <t>Образование</t>
  </si>
  <si>
    <t>3.1.</t>
  </si>
  <si>
    <t>4.1.</t>
  </si>
  <si>
    <t>4.2.</t>
  </si>
  <si>
    <t>4.3.</t>
  </si>
  <si>
    <t>Молодежная политика</t>
  </si>
  <si>
    <t>5.1.</t>
  </si>
  <si>
    <t>6.1.</t>
  </si>
  <si>
    <t>6.2.</t>
  </si>
  <si>
    <t>6.3.</t>
  </si>
  <si>
    <t>6.4.</t>
  </si>
  <si>
    <t>7.1.</t>
  </si>
  <si>
    <t>7.2.</t>
  </si>
  <si>
    <t>10.1.</t>
  </si>
  <si>
    <t>Сельское хозяйство</t>
  </si>
  <si>
    <t>11.1.</t>
  </si>
  <si>
    <t>11.2.</t>
  </si>
  <si>
    <t>Берегоукрепительные работы на реке Бирюса в селе Талая Тайшетского района Иркутской области</t>
  </si>
  <si>
    <t>ООО "Новая заря"</t>
  </si>
  <si>
    <t>ООО "Шелеховское"</t>
  </si>
  <si>
    <t>СХПК "Бирюсинский"</t>
  </si>
  <si>
    <t>СПССПК "Шелеховское молоко"</t>
  </si>
  <si>
    <t>ИП Глава КФХ Зверев В.Ю.</t>
  </si>
  <si>
    <t>Грант на развитие семейных молочных животноводческих ферм в случае производства и  (или) переработки (в том числе на арендованных основных средствах) сельскохозяйственной продукции, выполнения работ и оказания услуг в области сельского хозяйства</t>
  </si>
  <si>
    <t>600 гол.</t>
  </si>
  <si>
    <t>ЗАО "Байкалэнерго"</t>
  </si>
  <si>
    <t>МО "Тайшетское городское поселение"</t>
  </si>
  <si>
    <t>МО "Квитокское городское поселение"</t>
  </si>
  <si>
    <t>МО "Бирюсинское городское поселение"</t>
  </si>
  <si>
    <t>Реализация инвестиционного проекта "Реконструкция станции Тайшет ВСЖД филиала ОАО "РЖД""</t>
  </si>
  <si>
    <t>Управление культуры, спорта и молодежной политики администрации Тайшетского района</t>
  </si>
  <si>
    <t>Администрация Тайшетского городского поселения</t>
  </si>
  <si>
    <t>МО "Новобирюсинское городское поселение"</t>
  </si>
  <si>
    <t>МО "Шелеховское сельское поселение"</t>
  </si>
  <si>
    <t>МО "Тимирязевское сельское поселение"</t>
  </si>
  <si>
    <t>МО "Джогинское сельское поселение"</t>
  </si>
  <si>
    <t>МО "Шиткинское городское поселение"</t>
  </si>
  <si>
    <t>МО "Половино-Черемховское сельское поселение"</t>
  </si>
  <si>
    <t>МО "Бирюсинское сельское поселение"</t>
  </si>
  <si>
    <t>110 мест</t>
  </si>
  <si>
    <t>Строительство магазина в п.Квиток (ИП Киннунен А.А.)</t>
  </si>
  <si>
    <t>8.5.</t>
  </si>
  <si>
    <t>Строительство торгового комплекса в п.Юрты (Парнюк Р.В.)</t>
  </si>
  <si>
    <t>8.6.</t>
  </si>
  <si>
    <t>Строительство салона красоты в г.Тайшет (ИП Коренева О.В.)</t>
  </si>
  <si>
    <t>9.</t>
  </si>
  <si>
    <t>Промышленое производство</t>
  </si>
  <si>
    <t>9.1.</t>
  </si>
  <si>
    <t xml:space="preserve">Подпрограмма 1. "Повышение инвестиционной привлекательности Тайшетского района" на  2014-2017 г.г.  муниципальной  программы муниципального образования "Тайшетский район" "Стимулирование экономической активности" на 2014-2017 годы   </t>
  </si>
  <si>
    <t>9.1.2.</t>
  </si>
  <si>
    <t>Разработка нормативной правовой базы, направленной на реализацию инвестиционной политики администрации Тайшетского района</t>
  </si>
  <si>
    <t>9.1.3.</t>
  </si>
  <si>
    <t>Разработка и принятие нормативных правовых актов, направленных на создание благоприятных условий для осуществления инвестиционной деятельности на территории Тайшетского района</t>
  </si>
  <si>
    <t>9.1.4.</t>
  </si>
  <si>
    <t>Создание инфраструктуры инвестиционной поддержки для привлечения и сопровождения инвестиционных проектов</t>
  </si>
  <si>
    <t>9.1.5.</t>
  </si>
  <si>
    <t xml:space="preserve">Дополнение официального сайта администрации Тайшетского района в информационно-телекоммуникационной сети "Интернет" (http://taishetcom.do.am) специализированным двуязычным Интернет-ресурсом об инвестиционной деятельности в Тайшетском районе
</t>
  </si>
  <si>
    <t>9.1.6.</t>
  </si>
  <si>
    <t>Разработка и издание  рекламно-информационных материалов об инвестиционном потенциале Тайшетского района (буклеты, брошюры, инвестиционный паспорт)</t>
  </si>
  <si>
    <t>9.1.7.</t>
  </si>
  <si>
    <t>Разработка, размещение и поддержание в актуальной редакции на офици-альном сайте администрации Тайшетского района в информационно-телекоммуникационной сети "Интернет" в специализированном Интернет-ресурсе Инвестиционного паспорта Тайшетского района</t>
  </si>
  <si>
    <t>9.1.8.</t>
  </si>
  <si>
    <t>Организация участия предприятий и организаций в тематических об-ластных выставках, ярмарках</t>
  </si>
  <si>
    <t>9.2.</t>
  </si>
  <si>
    <t>Строительство "ООО ОК РУСАЛ"  Тайшетской Анодной фабрики (с.Ст.Акульшет)</t>
  </si>
  <si>
    <t>9.3.</t>
  </si>
  <si>
    <t>Строительство  ОК РУСАЛ Алюминиевого завода (с.Ст.Акульшет)</t>
  </si>
  <si>
    <t>9.4.</t>
  </si>
  <si>
    <t>Разработка карьера скальных пород ООО СМП - 621</t>
  </si>
  <si>
    <t>9.5.</t>
  </si>
  <si>
    <t>Производства угля древесного ООО "Угольный завод Тайшетского технопарка"</t>
  </si>
  <si>
    <t>10.</t>
  </si>
  <si>
    <t>Малый бизнес</t>
  </si>
  <si>
    <t xml:space="preserve">Муниципальная  программа муниципального образования "Тайшетский район" "Стимулирование экономической активности" на 2014-2017 годы                                        "Подпрограмма 2 "Поддержка и развитие малого и среднего предпринимательства на территории Тайшетского района" на 2014-2017 годы" </t>
  </si>
  <si>
    <t>10.1.1.</t>
  </si>
  <si>
    <t>Поддержка начинающих – гранты начинающим на создание собственного бизнеса</t>
  </si>
  <si>
    <t>10.1.2.</t>
  </si>
  <si>
    <t>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путем передачи в пользование имущества, принадлежащего на праве собственности муниципальному образованию "Тайшетский район" субъектам малого и среднего предпринимательства</t>
  </si>
  <si>
    <t>10.1.3.</t>
  </si>
  <si>
    <t>Популяризация малого бизнеса (проведение конкурсов, смотров-конкурсов, конкурсов профессионального мастерства)</t>
  </si>
  <si>
    <t>10.1.4.</t>
  </si>
  <si>
    <t>Подготовка, размещение на официальном сайте администрации Тайшетского района и в средствах массовой информации информационных материалов, освещающих вопросы деятельности субъектов малого и среднего предпринимательства и органов власти в области поддержки предпринимателей</t>
  </si>
  <si>
    <t>10.1.5.</t>
  </si>
  <si>
    <t>Организация ярмарочной торговли в целях реализации продукции, произведенной малыми и средними предприятиями Тайшетского района, в том числе сельскохозяйственными организациями, крестьянскими (фермерскими) хозяйствами</t>
  </si>
  <si>
    <t>10.1.6.</t>
  </si>
  <si>
    <t>Соблюдение Федерального закона от 05.04.2013г. № 44-ФЗ "О контрактной системе закупок товаров, работ, услуг для обеспечения государственных и муниципальных нужд" в части осуществления закупок у субъектов малого предпринимательства</t>
  </si>
  <si>
    <t>11.</t>
  </si>
  <si>
    <t>Имущественные отношения</t>
  </si>
  <si>
    <t>Инвентаризация объектов недвижимости муниципальной собственности</t>
  </si>
  <si>
    <t>Землеустройство и землепользование</t>
  </si>
  <si>
    <t>11.3.</t>
  </si>
  <si>
    <t xml:space="preserve">Обеспечение жильем молодых специалистов </t>
  </si>
  <si>
    <t>12.</t>
  </si>
  <si>
    <t>Финансы</t>
  </si>
  <si>
    <t>12.1.</t>
  </si>
  <si>
    <t>Муниципальная программа "Управление муниципальными финансами в муниципальном образовании "Тайшетский район"  на 2014 - 2017 годы"</t>
  </si>
  <si>
    <t>12.1.1.</t>
  </si>
  <si>
    <r>
      <rPr>
        <b/>
        <sz val="10"/>
        <rFont val="Times New Roman"/>
        <family val="1"/>
        <charset val="204"/>
      </rPr>
      <t>Подпрограмма</t>
    </r>
    <r>
      <rPr>
        <sz val="10"/>
        <rFont val="Times New Roman"/>
        <family val="1"/>
        <charset val="204"/>
      </rPr>
      <t xml:space="preserve"> "Повышение эффективности бюджетных расходов муниципального образования "Тайшетский район" на 2014 – 2017 годы"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</si>
  <si>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Проведение мероприятий по увеличению доходной базы районного бюджета в соответствии с утвержденным  комплексным планом мероприятий по увеличению доходной базы бюджета;</t>
    </r>
  </si>
  <si>
    <t>12.1.2.</t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</si>
  <si>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Финансирование текущих расходов по исполнению действующих расходных обязательств бюджета муниципального района (включая мероприятия муниципальных программ)</t>
    </r>
  </si>
  <si>
    <r>
      <rPr>
        <b/>
        <sz val="10"/>
        <rFont val="Times New Roman"/>
        <family val="1"/>
        <charset val="204"/>
      </rPr>
      <t>Подпрограмма</t>
    </r>
    <r>
      <rPr>
        <sz val="10"/>
        <rFont val="Times New Roman"/>
        <family val="1"/>
        <charset val="204"/>
      </rPr>
      <t xml:space="preserve"> "Организация составления и исполнения бюджета муниципального образования «Тайшетский район», управление муниципальными финансами на 2015-2017 годы"</t>
    </r>
  </si>
  <si>
    <t>12.1.2.1</t>
  </si>
  <si>
    <r>
      <rPr>
        <b/>
        <sz val="10"/>
        <rFont val="Times New Roman"/>
        <family val="1"/>
        <charset val="204"/>
      </rPr>
      <t>Мероприятие "</t>
    </r>
    <r>
      <rPr>
        <sz val="10"/>
        <rFont val="Times New Roman"/>
        <family val="1"/>
        <charset val="204"/>
      </rPr>
      <t>Обеспечение эффективного функционирования Финансового управления администрации Тайшетского района"</t>
    </r>
  </si>
  <si>
    <t>Итого</t>
  </si>
  <si>
    <t>12.1.2.2</t>
  </si>
  <si>
    <r>
      <rPr>
        <b/>
        <sz val="10"/>
        <rFont val="Times New Roman"/>
        <family val="1"/>
        <charset val="204"/>
      </rPr>
      <t>Мероприятие "</t>
    </r>
    <r>
      <rPr>
        <sz val="10"/>
        <rFont val="Times New Roman"/>
        <family val="1"/>
        <charset val="204"/>
      </rPr>
      <t>Обеспечение эффективного функционирования Централизованной бухгалтерии по исполнению бюджетов поселений"</t>
    </r>
  </si>
  <si>
    <t>12.1.2.3</t>
  </si>
  <si>
    <r>
      <rPr>
        <b/>
        <sz val="10"/>
        <rFont val="Times New Roman"/>
        <family val="1"/>
        <charset val="204"/>
      </rPr>
      <t>Мероприятие "</t>
    </r>
    <r>
      <rPr>
        <sz val="10"/>
        <rFont val="Times New Roman"/>
        <family val="1"/>
        <charset val="204"/>
      </rPr>
      <t>Обеспечение своевременного исполнения долговых обязательств муниципального района"</t>
    </r>
  </si>
  <si>
    <t>12.1.4.</t>
  </si>
  <si>
    <r>
      <rPr>
        <b/>
        <sz val="10"/>
        <rFont val="Times New Roman"/>
        <family val="1"/>
        <charset val="204"/>
      </rPr>
      <t>Подпрограмма</t>
    </r>
    <r>
      <rPr>
        <sz val="10"/>
        <rFont val="Times New Roman"/>
        <family val="1"/>
        <charset val="204"/>
      </rPr>
      <t xml:space="preserve"> "Финансовая поддержка муниципальных образований Тайшетского района на 2015 – 2017 годы"</t>
    </r>
  </si>
  <si>
    <t>12.1.4.1.</t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</si>
  <si>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"Распределение между местными бюджетами дотации на выравнивание бюджетной обеспеченности поселений из районного фонда финансовой поддержки поселений"</t>
    </r>
  </si>
  <si>
    <t>13.</t>
  </si>
  <si>
    <t>Муниципальное управление</t>
  </si>
  <si>
    <t>13.1.</t>
  </si>
  <si>
    <t>Муниципальная программа  "Муниципальное управление" на 2015-2017гг.</t>
  </si>
  <si>
    <t>13.1.1.</t>
  </si>
  <si>
    <t>Подпрограмма "Обеспечение исполнения полномочий"</t>
  </si>
  <si>
    <t>13.1.1.2.</t>
  </si>
  <si>
    <t>Обеспечение функционирования высшего должностного лица органа местного самоуправления</t>
  </si>
  <si>
    <t>13.1.1.3.</t>
  </si>
  <si>
    <t>Обеспечение функционирования органов местного самоуправления</t>
  </si>
  <si>
    <t>13.1.1.4.</t>
  </si>
  <si>
    <t>Обеспечение проведения выборов главы муниципального образования</t>
  </si>
  <si>
    <t>13.1.1.5.</t>
  </si>
  <si>
    <t>Обеспечение проведения выборов в представительные органы муниципального образования</t>
  </si>
  <si>
    <t>13.1.1.6.</t>
  </si>
  <si>
    <t>Финансовое  обеспечение непредвиденных расходов за счет средств резервного фонда</t>
  </si>
  <si>
    <t>13.1.1.7.</t>
  </si>
  <si>
    <t>Расходы направленные на предупреждение и ликвидацию последствий черезвычайных ситуаций</t>
  </si>
  <si>
    <t>13.1.1.8.</t>
  </si>
  <si>
    <t xml:space="preserve">Расходы напрвленные на осуществление полномочий по составлению (изменению) списков кандидатов в присяжные  заседатели федеральных судов общей юрисдикции в Российской Федерации в рамках реализации функций государственной судебной власти </t>
  </si>
  <si>
    <t>13.1.1.9.</t>
  </si>
  <si>
    <t>Расходы на премирование лиц, награжденных  Почетной грамотой мэра Тайшетского района</t>
  </si>
  <si>
    <t>13.1.1.10.</t>
  </si>
  <si>
    <t>Другие расходы органов местного самоуправления</t>
  </si>
  <si>
    <t>13.1.1.11.</t>
  </si>
  <si>
    <t>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</t>
  </si>
  <si>
    <t>13.1.1.12.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</si>
  <si>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</si>
  <si>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13.1.1.13.</t>
  </si>
  <si>
    <t>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</t>
  </si>
  <si>
    <t>13.1.1.14.</t>
  </si>
  <si>
    <t>Осуществление областного государственного полномочия по  определению перечня должностных лиц  органом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</si>
  <si>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13.1.1.15.</t>
  </si>
  <si>
    <t>Организация деятельности в части переданных отдельных полномочий поселений</t>
  </si>
  <si>
    <t>13.1.2.</t>
  </si>
  <si>
    <t>Подпрограмма "Улучшение условий труда"</t>
  </si>
  <si>
    <t>13.1.2.1.</t>
  </si>
  <si>
    <t>Осуществление отдельных областных государственных полномочий в сфере труда</t>
  </si>
  <si>
    <t>13.1.2.2.</t>
  </si>
  <si>
    <t>Организация и проведение конкурсов по охране труда на территории Тайшетского района</t>
  </si>
  <si>
    <t>13.1.2.3.</t>
  </si>
  <si>
    <t>Организация работы межведомственной комиссии по охране труда на территории Тайшетского района</t>
  </si>
  <si>
    <t>13.1.2.4.</t>
  </si>
  <si>
    <t>Пропаганда вопросов охраны труда и условий труда в средствах массовой информации</t>
  </si>
  <si>
    <t>13.1.2.5.</t>
  </si>
  <si>
    <t>Организация и проведение мероприятий посвященных Всемирному дню охраны труда</t>
  </si>
  <si>
    <t>13.1.2.6</t>
  </si>
  <si>
    <t>Организация работы трехсторонней Комиссии по регулированию социально-трудовых отношений</t>
  </si>
  <si>
    <t>13.1.2.7.</t>
  </si>
  <si>
    <t>Осуществление ведомственного контроля за соблюдением трудового законодательства и иных нормативных правовых актов, содержащих нормы трудового права, в муниципальных унитарных предприятиях и муниципальных учреждениях, находящихся в ведении муниципального образования "Тайшетский район"</t>
  </si>
  <si>
    <t>13.1.2.8.</t>
  </si>
  <si>
    <t>Организация предупредительных мер по сокращению  производственного травматизма и профессиональных заболеваний</t>
  </si>
  <si>
    <t>13.1.2.9.</t>
  </si>
  <si>
    <t>Участие в работе обучающих семинаров, конференций организуемых органами государственной власти, местного самоуправления, а также комиссий по проверке знаний и требований по охране труда</t>
  </si>
  <si>
    <t>к программе социально-экономического развития МО "Тайшетский район" на 2007-2017 гг., утвержденной решением Думы Тайшетского района №231 от 26.06.2007г.</t>
  </si>
  <si>
    <t>Приложение 3</t>
  </si>
  <si>
    <t>11.1</t>
  </si>
  <si>
    <t>Муниципальная программа муниципального образования "Тайшетский район" "Развитие муниципальной системы образования" на 2015-2017 годы</t>
  </si>
  <si>
    <t>Подпрограмма "Развитие системы дошкольного образования" на 2015-2017 годы</t>
  </si>
  <si>
    <t>Подпрограмма "Развитие дополнительного образования" на 2015-2017 годы</t>
  </si>
  <si>
    <t>Подпрограмма "Обеспечение реализации муниципальной программы "Развитие муниципальной системы образования"на 2015-2017 годы и прочие мероприятия в области образования"</t>
  </si>
  <si>
    <t>2.1</t>
  </si>
  <si>
    <t>2.2</t>
  </si>
  <si>
    <t>2.3</t>
  </si>
  <si>
    <t>2.4</t>
  </si>
  <si>
    <t>4.1</t>
  </si>
  <si>
    <t>4.2</t>
  </si>
  <si>
    <t>7.1</t>
  </si>
  <si>
    <t>8.1</t>
  </si>
  <si>
    <t>9.1</t>
  </si>
  <si>
    <t>10.1</t>
  </si>
  <si>
    <t xml:space="preserve">МП "Развитие муниципальной системы образования" </t>
  </si>
  <si>
    <t>4</t>
  </si>
  <si>
    <t>Внебюджетные источники</t>
  </si>
  <si>
    <t>6</t>
  </si>
  <si>
    <t>6.1</t>
  </si>
  <si>
    <t>6.2</t>
  </si>
  <si>
    <t>ВСЖД филиал ОАО РДЖ</t>
  </si>
  <si>
    <t>8</t>
  </si>
  <si>
    <t>10</t>
  </si>
  <si>
    <t xml:space="preserve">ГП Иркутской области "Развитие сельского хозяйства и регулирование рынков сельскохозяйственной продукции, сырья и продовольствия" </t>
  </si>
  <si>
    <t xml:space="preserve">ГП "Развитие сельского хозяйства и регулирование рынков сельскохозяйственной продукции, сырья и продовольствия" </t>
  </si>
  <si>
    <t xml:space="preserve">ГП Иркутской области  "Развитие сельского хозяйства и регулирование рынков сельскохозяйственной продукции, сырья и продовольствия" </t>
  </si>
  <si>
    <t xml:space="preserve">ГП Иркутской области "Развитие физической культуры и спорта" </t>
  </si>
  <si>
    <t xml:space="preserve">МП "Развитие сельского хозяйства и регулирование рынков сельскохозяйственной продукции, сырья и продовольствия" </t>
  </si>
  <si>
    <t xml:space="preserve">ГП Иркутской области "Модернизация объектов коммунальной инфраструктуры" </t>
  </si>
  <si>
    <t xml:space="preserve">МП "Переселение граждан из ветхого и аварийного жилищного фонда Тайшетского муниципального образования "Тайшетское городское поселение" </t>
  </si>
  <si>
    <t xml:space="preserve">МП "Переселение граждан из ветхого и аварийного жилищного фонда в Бирюсинском муниципальном образовании "Бирюсинское городское поселение" </t>
  </si>
  <si>
    <t xml:space="preserve">МП "Охрана окружающей среды и экологической безопасности на территории Тайшетского района" </t>
  </si>
  <si>
    <t xml:space="preserve">МП "Социальная поддержка отдельных категорий населения муниципального образования "Тайшетский район" </t>
  </si>
  <si>
    <t>12</t>
  </si>
  <si>
    <t>Капитальный ремонт Новотреминского Дома культуры</t>
  </si>
  <si>
    <t xml:space="preserve"> ГП "Развитие культуры"</t>
  </si>
  <si>
    <t>2.5</t>
  </si>
  <si>
    <t>Капитальный ремонт Николаевского Дома культуры</t>
  </si>
  <si>
    <t>ГП "Развитие культуры"</t>
  </si>
  <si>
    <t>МО "Николаевское сельское поселение"</t>
  </si>
  <si>
    <t>2.6</t>
  </si>
  <si>
    <t>Капитальный ремонт Староакульшетского Дома культуры</t>
  </si>
  <si>
    <t>МО "Староакульшетское сельское поселение"</t>
  </si>
  <si>
    <t>Капитальный ремонт Нижне-заимского Дома культуры</t>
  </si>
  <si>
    <t>МО "Нижне-заимское сельское поселение"</t>
  </si>
  <si>
    <t>МП "Развитие культуры"</t>
  </si>
  <si>
    <t>Предоставление социальных выплат молодым семьям на территории Тайшетского района</t>
  </si>
  <si>
    <t>Предостовление социальных выплат молодым семьям на территории г. Тайшета</t>
  </si>
  <si>
    <t>Содействие в получении социальных выплат на строительство (приобретение) жилья, гражданам, проживающим в сельской местности Тайшетского района, в том числе молодым семьям и молодым специалистам, за счет средств федерального бюджета и бюджета Иркутской области</t>
  </si>
  <si>
    <t>МО "Нижнезамское сельское поселение"</t>
  </si>
  <si>
    <t>40 мест</t>
  </si>
  <si>
    <t>25 чел/сут</t>
  </si>
  <si>
    <t>Строительство спортивного плоскостного сооружения в д. Нижняя Заимка (хокейный корт)</t>
  </si>
  <si>
    <t>Капитальный ремонт Дома культуры в р/п. Новобирюсинский</t>
  </si>
  <si>
    <t>Капитальный ремонт МКУК Шиткинский ДД и Т</t>
  </si>
  <si>
    <t>Строительство Дома культуры в с. Джогино</t>
  </si>
  <si>
    <t>Строительство Дома культуры в с. Конторка</t>
  </si>
  <si>
    <t xml:space="preserve"> Строительство спортивного плосткостного сооружения в с. Бирюса (спортивная площадка)</t>
  </si>
  <si>
    <t xml:space="preserve"> Строительство спортивного плосткостного сооружения в с. Конторка (спортивная площадка)</t>
  </si>
  <si>
    <t xml:space="preserve"> Строительство спортивного плосткостного сооружения в с. Половино-Черемхово (спортивная плащадка)</t>
  </si>
  <si>
    <t>Строительство спортивного плосткостного сооружения в р.п. Шиткино (хокейный корт)</t>
  </si>
  <si>
    <t>Строительство спортивного плосткостного сооружения в с. Джогино (спортивная площадка)</t>
  </si>
  <si>
    <t>Строительство спортивного плосткостного сооружения в д. Тимирязево (спортивная площадка)</t>
  </si>
  <si>
    <t xml:space="preserve"> Строительство бассейна в р.п. Квиток</t>
  </si>
  <si>
    <t xml:space="preserve"> Строительство спортивного зала в р.п. Квиток</t>
  </si>
  <si>
    <t xml:space="preserve"> Строительство Дома культуры в с. Шелехово Тайшетского района</t>
  </si>
  <si>
    <t>350 мест</t>
  </si>
  <si>
    <t>Реконструкция электрических сетей ВЛ-10 "Тамтачет -Кондратьево"</t>
  </si>
  <si>
    <t xml:space="preserve">ГП Иркутской области "Развитие жилищно-коммунального хозяйства Иркутской области" </t>
  </si>
  <si>
    <t xml:space="preserve">Реконструкция электрических сетей 
ВЛ-0,4кВ, п.Полинчет, Вл-0,4кВ в с.Кондратьево
</t>
  </si>
  <si>
    <t>МО "Полинчетское сельское поселение"</t>
  </si>
  <si>
    <t xml:space="preserve">Бурение скважины с обустройством и строительство локального водопровода в Тимирязевском МО </t>
  </si>
  <si>
    <t>Бурение скважины с обустройством и строительство локального водопровода в Николаевском МО</t>
  </si>
  <si>
    <t>Бурение скважины с обустройством и строительство локального водопровода в Разгонском МО</t>
  </si>
  <si>
    <t>МО "Разгонское сельское поселение"</t>
  </si>
  <si>
    <t>Бурение скважины с обустройством и строительство локального водопровода в Черчетском МО</t>
  </si>
  <si>
    <t>МО " Черчетское сельское поселение"</t>
  </si>
  <si>
    <t>320 м</t>
  </si>
  <si>
    <t>330 м</t>
  </si>
  <si>
    <t xml:space="preserve">ООО "Транстехресурс" (мероприятия, проводимые концессионером в рамках реализации концессионного соглашения) </t>
  </si>
  <si>
    <t>Здание котельной с оборудованием и тепловыми сетями: г. Бирюсинск, ул. Крупской, 50 (больничный комплекс)</t>
  </si>
  <si>
    <t>Капитальный ремонт котла, изготовленного кустарным способом, замена ДН-9 на новый; механизация ШЗУ с монтажом эл. тельфера</t>
  </si>
  <si>
    <t>Приобретение и монтаж сетевого насоса фирмы КSB производительностью 45 м3, напор 60 м, Etabloc GN 50/160/752 GN; замена вводного кабеля от П/ст до котельной (земля на воздух)</t>
  </si>
  <si>
    <t>Здание котельной с оборудованием и тепловыми сетями: г. Бирюсинск, ул. Ленина, 65/2</t>
  </si>
  <si>
    <t>Приобретение и замена ДН-3,5; приобретение и замена сетевых насосов на Etabloc GN 032/125</t>
  </si>
  <si>
    <t>Монтаж ХВО (комплексонатной подготовки)</t>
  </si>
  <si>
    <t>Здание котельной с оборудованием и тепловыми сетями: г. Бирюсинск, ул. Дружбы, 49/3 (школа №10)</t>
  </si>
  <si>
    <t>Приобретение/замена дымососа ДН 2,5</t>
  </si>
  <si>
    <t>Приобретение и монтаж карборобота; приобретение и замена сетевых насосов производительностью 8 м3, напор 20</t>
  </si>
  <si>
    <t>Станция перакачки</t>
  </si>
  <si>
    <t>Ремонт канализационных колодцев 30 ед.</t>
  </si>
  <si>
    <t>Капитальный ремонт кровли</t>
  </si>
  <si>
    <t>Замена 2-ух насосов на КSB производительностью 150 м3 напором 30 и KSB производительностью 200 м3 напор 30</t>
  </si>
  <si>
    <t>Замена задвижек на н/ст; капитальный ремонт напорных коллекторов - 1 км</t>
  </si>
  <si>
    <t>Здание РМЦ: г. Бирюсинск, ул. Горького, 1/14</t>
  </si>
  <si>
    <t>Монтаж пожарной сигнализации</t>
  </si>
  <si>
    <t>АТЦ</t>
  </si>
  <si>
    <t xml:space="preserve"> Обеспечение жильем граждан, проживающих в домах, признанных непригодными для постоянного проживания в Тайшетском городском поселении</t>
  </si>
  <si>
    <t xml:space="preserve"> Обеспечение жильем граждан, проживающих в домах, признанных непригодными для постоянного проживания в Бирюсинском городском поселении</t>
  </si>
  <si>
    <t>200  пос/мест</t>
  </si>
  <si>
    <t>150 пос/мест</t>
  </si>
  <si>
    <t>Строительство и запуск в эксплуатацию второго корпуса коровника, покупка 100 голов племенных телок, покупка оборудования для коровника и сельхозтехники</t>
  </si>
  <si>
    <t>100 голов</t>
  </si>
  <si>
    <t>Покупка сельхозтехники</t>
  </si>
  <si>
    <t>70 м</t>
  </si>
  <si>
    <t>75 м</t>
  </si>
  <si>
    <t>65 м</t>
  </si>
  <si>
    <t>970 м</t>
  </si>
  <si>
    <t xml:space="preserve"> Строительство комплексов "начальная школа-детский сад" в следующих населенных пунктах: </t>
  </si>
  <si>
    <t>Обеспечение доступа к сети Интернет с высокой скоростью для общеобразовательных организаций для работы в АИС "Комплектование", ДО "Зачисление в ОО. Электронном дневнике, Электронном журнале"</t>
  </si>
  <si>
    <t xml:space="preserve"> Развитие агробизнесобразования (приобретение техники, установка теплиц)</t>
  </si>
  <si>
    <t>Строительство комплексов "начальная школа-детский сад" в с. Николаевка</t>
  </si>
  <si>
    <t>Строительство комплексов "начальная школа-детский сад" в с. Половино-Черемхово</t>
  </si>
  <si>
    <t>Строительство комплексов "начальная школа-детский сад" в с. Нижняя Заимка</t>
  </si>
  <si>
    <t>Строительство комплекса начальная школа-детский сад в с. Старый Акульшет</t>
  </si>
  <si>
    <t>Строительство детского сада в г. Бирюсинске</t>
  </si>
  <si>
    <t>Покупка  племенных телок, покупка сельхозтехники (6 ед.)</t>
  </si>
  <si>
    <t>Инвестиционный проект "Развитие зернового производства ООО "Шелеховское" (приобретение сельскохозяйственной техники и оборудования, покупка элитных семян, удобрений и СЗР, увеличение посевных площадей зерновых культур на 1000 г и кормовых на 800 г) в с. Шелехово</t>
  </si>
  <si>
    <t>Инвестиционный проект "Развитие сельскохозяйственной кооперации СПССПК "Шелеховское молоко" Тайшетского района (покупка оборудования для переработки молока) в г. Тайшете</t>
  </si>
  <si>
    <t xml:space="preserve"> Обновление персональных компьютеров, технических средств обучения в учреждениях дошкольного, дополнительного образования</t>
  </si>
  <si>
    <t xml:space="preserve"> Обновление персональных компьютеров, технических средств обучения в общеобразовательных учреждениях</t>
  </si>
  <si>
    <t>Обеспечение доступа к сети Интернет с высокой скоростью для дошкольных образовательных организаций (для работы в АИС "Комплектование ДОУ")</t>
  </si>
  <si>
    <t xml:space="preserve"> МКОУ Черчетская СОШ</t>
  </si>
  <si>
    <t>МКОУ Тальская СОШ</t>
  </si>
  <si>
    <t>МКОУ Новобирюсинская СОШ</t>
  </si>
  <si>
    <t>МКОУ Бузыкановская СОШ</t>
  </si>
  <si>
    <t>МКОУ СОШ № 16 г.Бирюсинск</t>
  </si>
  <si>
    <t>МКОУ Квитокская СОШ № 1</t>
  </si>
  <si>
    <t>МКОУ Шиткинская СОШ</t>
  </si>
  <si>
    <t>Приспособление аудиторий и иных помещений для организации обучения детей-инвалидов (по зрению, слуху, с нарушением функций опорно-двигательного аппарата) в общеобразовательных организациях:</t>
  </si>
  <si>
    <t xml:space="preserve"> Инветаризация объектов недвижимости муниципальной собствености Тайшетского района: </t>
  </si>
  <si>
    <t xml:space="preserve"> Выполнение кадастровых работ по формированию земельных участков</t>
  </si>
  <si>
    <t>Развитие картодромов в МКОУ СОШ №85 г. Тайшета</t>
  </si>
  <si>
    <t>18 чел/1 клуб</t>
  </si>
  <si>
    <t>Развитие площадок для авиа-, судо- и иного моделирования в МКОУ Новобирюсинская СОШ</t>
  </si>
  <si>
    <t>Развитие площадок для авиа-, судо- и иного моделирования в МКОУ Шиткинская СОШ</t>
  </si>
  <si>
    <t>Развитие площадок для авиа-, судо- и иного моделирования в МКОУ Тамтачетская СОШ</t>
  </si>
  <si>
    <t xml:space="preserve"> Строительство образовательной организации "Средняя общеобразовательная школа на 520 учащихся, расположенных по адресу: Иркутская область, Тайшетский район, г. Бирюсинск, ул. Дружбы, 18 Б</t>
  </si>
  <si>
    <t>Инвестиционный проект "Развитие зернового производства  СХПК "Бирюсинский" (приобретение сельскохозяйственной техники, увеличение посевных площадей зерновых культур на 1000 г и кормовых на 800  г) в р.п. Шиткино</t>
  </si>
  <si>
    <t xml:space="preserve"> Развитие инженерного творчества, картодромов, площадок для авиа-, судо- и иного моделирования</t>
  </si>
  <si>
    <t>Инвестиционный проект  "Развитие молочного животноводства ООО "Новая Заря" в с. Старый Акульшет</t>
  </si>
  <si>
    <t>100 мест</t>
  </si>
  <si>
    <t>Повышение доступности для детей-инвалидов образовательных услуг</t>
  </si>
  <si>
    <t xml:space="preserve">Всего </t>
  </si>
  <si>
    <t>Инвестиционный проект "Капитальное строительство двух ферм мясного направления"  ИП Глава КФХ Прядивной  Г.И." в с. Шелехово</t>
  </si>
  <si>
    <t>Инвестиционный проект "Строительство зернокомплекса на базе ООО"Шелеховское" (строительство зерносклада , покупка оборудования)</t>
  </si>
  <si>
    <t>Инвестиционный проект "Строительство животноводческой фермы мясного направления на базе ИП глава КФХ Барков" в с.Черчет</t>
  </si>
  <si>
    <t>300 гол.</t>
  </si>
  <si>
    <t>200 гол.</t>
  </si>
  <si>
    <t>50 голов</t>
  </si>
  <si>
    <t>25 голов</t>
  </si>
  <si>
    <t>50 гол.</t>
  </si>
  <si>
    <t>1500 т</t>
  </si>
  <si>
    <t>Инвестиционный проект "Строительство животноводческой фермы мясного направления на базе ИП глава КФХ Дведенидов А.С." в с.Николаевка</t>
  </si>
  <si>
    <t>Инвестиционный проект "Строительство животноводческой фермы мясного направления на базе ИП глава КФХ Справникова Г.Г." в с.Рождественка</t>
  </si>
  <si>
    <t>ИП Глава КФХ Прядивной  Г.И.</t>
  </si>
  <si>
    <t>ООО "Заречное"</t>
  </si>
  <si>
    <t>ООО"Заречное"</t>
  </si>
  <si>
    <t>ИП глава КФХ Холупенко С.П.</t>
  </si>
  <si>
    <t>ИП глава КФХ Справникова Г.Г.</t>
  </si>
  <si>
    <t>ИП глава КФХ Дведенидов А.С.</t>
  </si>
  <si>
    <t>ИП глава КФХ Пирогов Д.Н</t>
  </si>
  <si>
    <t>Инвестиционный проект "Строительство животноводческой фермы молочного направления на базе ИП глава КФХ Пирогов Д.Н."  в д.Пуляево  (Борисовское МО)</t>
  </si>
  <si>
    <t xml:space="preserve"> ИП глава КФХ Мацук </t>
  </si>
  <si>
    <t>Инвестиционный проект "Развитие семейной молочной животноводческой фермы на базе ИП Глава КФХ Зверев В.Ю. в с.Половино-Черемхово"</t>
  </si>
  <si>
    <t>150 гол.</t>
  </si>
  <si>
    <t>Инвестиционный проект "Капитальное строительство животноводческого комплекса в ООО "Заречное" (2 фермы, 2 телятника) в с.Заречное</t>
  </si>
  <si>
    <t>Инвестиционный проект "Создание племенного  хозяйства на базе ООО "Шелеховское" (закуп                        поголовья) в с.Рождественка</t>
  </si>
  <si>
    <t>ИП глава КФХ Барков</t>
  </si>
  <si>
    <t xml:space="preserve">МП "Модернизация объектов коммунальной инфраструктуры  муниципального образования "Тайшетский район" </t>
  </si>
  <si>
    <t xml:space="preserve">МП "Повышение эффективности управления муниципальным имуществом муниципального образования "Тайшетский район" </t>
  </si>
  <si>
    <t>Земельный участок под автомобильной дорогой  Мирный Шелаево (подъзд к паромной переправе на р.Бирюса с.Мирный)</t>
  </si>
  <si>
    <t>Земельный участок под автомобильной дорогой  Новобирюсинский-Горевая-Тамтачет</t>
  </si>
  <si>
    <t>Земельный участок под автомобильной дорогой  подъезд к с.Полинчет</t>
  </si>
  <si>
    <t>Земельный участок под автомобильной дорогой  Талая-Георгиевка</t>
  </si>
  <si>
    <t>Земельный участок под автомобильной дорогой  подъезд к с.Талая</t>
  </si>
  <si>
    <t>Строительство детской школы искусств г.Тайшет</t>
  </si>
  <si>
    <t>Бурение скважины с обустройством и строительство локального водопровода в  Венгерском МО</t>
  </si>
  <si>
    <t>Бурение скважины с обустройством и строительство локального водопровода в  Нижнезаимком  МО</t>
  </si>
  <si>
    <t>Бурение скважины с обустройством и строительство локального водопровода в  Мирнинском   МО</t>
  </si>
  <si>
    <t>Бурение скважины с обустройством и строительство локального водопровода в  Джогинском   МО</t>
  </si>
  <si>
    <t xml:space="preserve"> Строительство теплоисточника в р.п. Юрты</t>
  </si>
  <si>
    <t>400 мест</t>
  </si>
  <si>
    <t>Строительство лыжероллерной трассы МБУ ДО ДЮСШ г.Тайшета</t>
  </si>
  <si>
    <t>2.15.</t>
  </si>
  <si>
    <t>Капитальный ремонт МКОУ  Венгерская СОШ</t>
  </si>
  <si>
    <t>Капитальный ремонт МКОУ  Зареченская СОШ</t>
  </si>
  <si>
    <t>Капитальный  ремонт МКОУ Квитокская СОШ №1</t>
  </si>
  <si>
    <t xml:space="preserve">Капитальный  ремонт МКОУ Рождественская СОШ </t>
  </si>
  <si>
    <t xml:space="preserve">Капитальный  ремонт МКОУ  Березовская СОШ </t>
  </si>
  <si>
    <t>Капитальный  ремонт МКДОУ  "Белочка" г.Тайшет</t>
  </si>
  <si>
    <t>Капитальный  ремонт МКДОУ "Сказка" г.Тайшет</t>
  </si>
  <si>
    <t>Оборудование санитарно-гигиенических помещений с учетом  потребностей детей-инвалидов и детей с ограниченной возможносью здоровья</t>
  </si>
  <si>
    <t>МКОУ Соляновская СОШ</t>
  </si>
  <si>
    <t>МКОУ Шелеховская СОШ</t>
  </si>
  <si>
    <t>МКОУ Разгонская СОШ</t>
  </si>
  <si>
    <t>30 мест</t>
  </si>
  <si>
    <t>20 мест</t>
  </si>
  <si>
    <t>7975 м</t>
  </si>
  <si>
    <t>100 м</t>
  </si>
  <si>
    <t xml:space="preserve">300 кВт </t>
  </si>
  <si>
    <t>8412,75 м</t>
  </si>
  <si>
    <t>МО "Юртинское  городское поселение"</t>
  </si>
  <si>
    <t>Установка пандуса на центральном входе объектов физической культуры и спорта для создания безбарьерной среды жизни деятельности инвалидов и других маломобильных групп населения</t>
  </si>
  <si>
    <t>МО "Венгерское сельское поселение"</t>
  </si>
  <si>
    <t>МО "Нижнезаимское сельское поселение"</t>
  </si>
  <si>
    <t>МО "Мирнинское сельское поселение"</t>
  </si>
  <si>
    <t>МО "Бузыкановское сельскоке поселение"</t>
  </si>
  <si>
    <t xml:space="preserve">Строительство пешеходных переходов (мостов)      </t>
  </si>
  <si>
    <t>Здание сельского  клуба (д.Сафроновка, д. Троицк, д.Синякино, д. Конторка), здание СДК (с.Шелехово, д. Коновалово, с. Нижняя Заимка), здание сельской администрации (д. Тимирязево, с.Половино-Черемхово), здание администрации (р.п.Новобирюсинский), помещение в здании (сельская администрация)  (с. Шелехово, с.Черчет), помещение в здании (с.Нижняя заимка), водонапорная башня (г.Тайшет, п.Новотремино, п/ст Разгон), здание колонки №2 (п/ст Разгон),  автомобильная  дорога (подъезд к паромной переправе на р.Бирюса с.Мирный)</t>
  </si>
  <si>
    <t>Автомобильная дорога Новобирюсинский-Горевая-Тамтачет</t>
  </si>
  <si>
    <t>Земельный участок под автомобильной дорогой  Гоголевка-Борисово</t>
  </si>
  <si>
    <t>Капитальный ремонт автомобильной дороги в г.Бирюсинске (ул. Парижской Коммуны, ул.Марата)</t>
  </si>
  <si>
    <t xml:space="preserve">Капитальный ремонт МКУК "Бузыкановский Дом Досуга и Творчества" </t>
  </si>
  <si>
    <t>Капитальный ремонт Бузыкановской сельской библиотеки</t>
  </si>
  <si>
    <t>2.16.</t>
  </si>
  <si>
    <t>2.17.</t>
  </si>
  <si>
    <t>2.18.</t>
  </si>
  <si>
    <t>Строительство каркасно-тентовой конструкции универсального спортивного комплекса для хоккейной коробки в г.Бирюсинск</t>
  </si>
  <si>
    <t>Капитальный ремонт кровли МКУК Межпоселенческой библиотечной системы Тайшетского района</t>
  </si>
  <si>
    <t>Капитальный ремонт структурного подразделения МКУК МБС Тайшетского района  Шиткинской детской библиотеки</t>
  </si>
  <si>
    <t>162 кв.м.</t>
  </si>
  <si>
    <t>38 метров</t>
  </si>
  <si>
    <t>Здание администрации (с.Бузыканово, п.Квиток, с.Березовка, п.Мирный), водонапорная башня (п. Квиток, с. Нижняя Заимка, с. Мирный, с.Джогино, д.Тремина), здание водонапорной башни (с. Половино-Черемхово), нежилое здание котельной (р.п. Новобирюсинский), здание котельной (р.п.Новобирюсинский),  автомобильные дороги (подъезд к д.Черемшанка, Тайшет-Парижская коммуна)</t>
  </si>
  <si>
    <t>Капитальный ремонт водонапорной башни д. Иванов Мыс Тайшетского района</t>
  </si>
  <si>
    <t>МО "Бузыкановское сельское поселение"</t>
  </si>
  <si>
    <t>Строительство локального водопровода в  д. Иванов Мыс Бузыканоского МО</t>
  </si>
  <si>
    <t>Инвестиционный проект "Строительство зернокомплекса на базе ООО "Заречное" (строительство зерносклада , покупка оборудования)</t>
  </si>
  <si>
    <t>120 мест</t>
  </si>
  <si>
    <t>Комитет по управлению муниципальным имуществом, строительству, архитектуре и жилищно-коммунальному хозяйству администрации Тайшетского района</t>
  </si>
  <si>
    <t>Комитет по управлению муниципальным имуществом, строительства, архитектуры и жилищно-коммунальному хозяйству администрации Тайшетского района</t>
  </si>
  <si>
    <t>План мероприятий  по реализации стратегии социально-экономического развития муниципального образования "Тайшетский район" на 2019-2030 годы</t>
  </si>
  <si>
    <t>Демографическое развитие</t>
  </si>
  <si>
    <t>2</t>
  </si>
  <si>
    <t>Медицина</t>
  </si>
  <si>
    <t>Охрана труда</t>
  </si>
  <si>
    <t>Услуги связи</t>
  </si>
  <si>
    <t>Территориальное планирование и градостроительное зонирование</t>
  </si>
  <si>
    <t xml:space="preserve">Охрана окружающей среды </t>
  </si>
  <si>
    <t>Профилактика правонарушений и преступлений</t>
  </si>
  <si>
    <t>Экономический потенциал Тайшетского района</t>
  </si>
  <si>
    <t>Инвестиционная деятельность</t>
  </si>
  <si>
    <t>Малый и средний бизнес</t>
  </si>
  <si>
    <t>Туризм</t>
  </si>
  <si>
    <t>Трудовые ресурсы</t>
  </si>
  <si>
    <t>Управление муниципальным имуществом</t>
  </si>
  <si>
    <t>2.5.1</t>
  </si>
  <si>
    <t>2.5.2</t>
  </si>
  <si>
    <t>2.5.3</t>
  </si>
  <si>
    <t>2.5.4</t>
  </si>
  <si>
    <t>2.6.1</t>
  </si>
  <si>
    <t>2.6.3</t>
  </si>
  <si>
    <t>2.6.4</t>
  </si>
  <si>
    <t>2.7</t>
  </si>
  <si>
    <t>2.7.1</t>
  </si>
  <si>
    <t>2.7.2</t>
  </si>
  <si>
    <t>2.7.3</t>
  </si>
  <si>
    <t>2.7.4</t>
  </si>
  <si>
    <t>2.8</t>
  </si>
  <si>
    <t>2.9</t>
  </si>
  <si>
    <t>2.10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</si>
  <si>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</si>
  <si>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</si>
  <si>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</si>
  <si>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</si>
  <si>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</si>
  <si>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</si>
  <si>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</si>
  <si>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</si>
  <si>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</si>
  <si>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</si>
  <si>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</si>
  <si>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</si>
  <si>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</si>
  <si>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</si>
  <si>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</si>
  <si>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</si>
  <si>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</si>
  <si>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</si>
  <si>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</si>
  <si>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3.1</t>
  </si>
  <si>
    <t>Культура</t>
  </si>
  <si>
    <t>4.3</t>
  </si>
  <si>
    <t>4.4</t>
  </si>
  <si>
    <t>4.6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</si>
  <si>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</si>
  <si>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</si>
  <si>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</si>
  <si>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</si>
  <si>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</si>
  <si>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</si>
  <si>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</si>
  <si>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</si>
  <si>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</si>
  <si>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</si>
  <si>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</si>
  <si>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</si>
  <si>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Физическая культура и спорт</t>
  </si>
  <si>
    <t>5.5</t>
  </si>
  <si>
    <t>5.6</t>
  </si>
  <si>
    <t>8.1.2.</t>
  </si>
  <si>
    <t>Строительный комплекс</t>
  </si>
  <si>
    <t>12.5</t>
  </si>
  <si>
    <t>12.6</t>
  </si>
  <si>
    <t>12.7</t>
  </si>
  <si>
    <t>12.8</t>
  </si>
  <si>
    <t>12.19</t>
  </si>
  <si>
    <t>12.21</t>
  </si>
  <si>
    <t>12.22</t>
  </si>
  <si>
    <t>13</t>
  </si>
  <si>
    <t>13.2</t>
  </si>
  <si>
    <t>14</t>
  </si>
  <si>
    <t>14.1</t>
  </si>
  <si>
    <t>15</t>
  </si>
  <si>
    <t>15.1</t>
  </si>
  <si>
    <t>15.1.1</t>
  </si>
  <si>
    <t>15.1.2</t>
  </si>
  <si>
    <t>15.1.3</t>
  </si>
  <si>
    <t>15.2.</t>
  </si>
  <si>
    <t>15.3.</t>
  </si>
  <si>
    <t>15.4.</t>
  </si>
  <si>
    <t>15.6</t>
  </si>
  <si>
    <t>15.7</t>
  </si>
  <si>
    <t>15.8</t>
  </si>
  <si>
    <t>15.9</t>
  </si>
  <si>
    <t>16</t>
  </si>
  <si>
    <t>16.1</t>
  </si>
  <si>
    <t>16.1.1</t>
  </si>
  <si>
    <t>16.2</t>
  </si>
  <si>
    <t>16.1.2</t>
  </si>
  <si>
    <t>16.3</t>
  </si>
  <si>
    <t>16.4</t>
  </si>
  <si>
    <t>17</t>
  </si>
  <si>
    <t>17.1</t>
  </si>
  <si>
    <t>18</t>
  </si>
  <si>
    <t>18.1</t>
  </si>
  <si>
    <t>19</t>
  </si>
  <si>
    <t>Социальная поддержка отдельных категорий  населения</t>
  </si>
  <si>
    <t>19.1</t>
  </si>
  <si>
    <t>19.1.1</t>
  </si>
  <si>
    <t>19.1.2</t>
  </si>
  <si>
    <t>19.1.3</t>
  </si>
  <si>
    <t>19.2.</t>
  </si>
  <si>
    <t>19.3.1.</t>
  </si>
  <si>
    <t>19.5</t>
  </si>
  <si>
    <t>20</t>
  </si>
  <si>
    <t>20.1</t>
  </si>
  <si>
    <t>20.1.1</t>
  </si>
  <si>
    <t>20.1.2</t>
  </si>
  <si>
    <t>20.1.3</t>
  </si>
  <si>
    <t>20.1.6</t>
  </si>
  <si>
    <t>20.2</t>
  </si>
  <si>
    <t>20.2.1</t>
  </si>
  <si>
    <t>20.2.2</t>
  </si>
  <si>
    <t>20.2.3</t>
  </si>
  <si>
    <t>20.2.4</t>
  </si>
  <si>
    <t>20.2.5</t>
  </si>
  <si>
    <t>1.2</t>
  </si>
  <si>
    <t>Проект МП "Развитие культуры, спорта и молодежной политики"</t>
  </si>
  <si>
    <t>Пропаганда здорового образа жизни среди населения Тайшетского района</t>
  </si>
  <si>
    <t>Укрепление института семьи, популяризация семейных ценностей</t>
  </si>
  <si>
    <t xml:space="preserve">Муниципальна программа Бирюсинского муниципального образования "Бирюсинское городское поселение" Развитие физической культуры и спорта на территории Бирюсинского муниципального образования" "Бирюсинское городское поселение " </t>
  </si>
  <si>
    <t>Проведение профилактических мероприятий, направленных на профилактику безнадзорности и правонарушений среди несовершеннолетних</t>
  </si>
  <si>
    <t>МП "Профилактика правонарушений, обеспечение общественной безопасности и правопорядка на территории муниципального образования "Тайшетский район"</t>
  </si>
  <si>
    <t>14.2</t>
  </si>
  <si>
    <t>Проведение антинаркотической пропаганды по повышению уровня осведомленности молодежи о негативных последствиях потребления наркотических средств и об ответственности за участие в их незаконном обороте</t>
  </si>
  <si>
    <t>16.1.3.</t>
  </si>
  <si>
    <t>Создание благоприятных условий для осуществления инвестиционной деятельности на территории Тайшетского района</t>
  </si>
  <si>
    <t>Непрограмные расходы</t>
  </si>
  <si>
    <t>Администрация Тайшетского района</t>
  </si>
  <si>
    <t>3.2</t>
  </si>
  <si>
    <t>16.4.1</t>
  </si>
  <si>
    <t>Содействие развитию туристской инфраструктуры</t>
  </si>
  <si>
    <t>Обеспечение эффективного управления муниципальными финансами, организация бюджетного процесса муниципального образования "Тайшетский район"</t>
  </si>
  <si>
    <t>МП "Управление муниципальными финансами в муниципальном образовании "Тайшетский район"</t>
  </si>
  <si>
    <t>Проект МП "Управление муниципальными финансами в муниципальном образовании "Тайшетский район"</t>
  </si>
  <si>
    <t>Эффективное управление районным фондом финансовой поддержки поселений, обеспечение сбалансированности бюджетов поселений</t>
  </si>
  <si>
    <t>Финансовое управление администрации Тайшетского района</t>
  </si>
  <si>
    <t>Строительство фельдшерского (акушерского) пункта п. Новотремино</t>
  </si>
  <si>
    <t>3.3</t>
  </si>
  <si>
    <t>3.4</t>
  </si>
  <si>
    <t>Строительство фельдшерского (акушерского) пункта п/ст. Тамтачет</t>
  </si>
  <si>
    <t>Строительство фельдшерского (акушерского) пункта д. Сергина</t>
  </si>
  <si>
    <t>Строительство фельдшерского (акушерского) пункта д. Пуляева</t>
  </si>
  <si>
    <t xml:space="preserve">ГП Иркутской области "Развитие сельского хозяйства и регулирование рынков сельскохозяйственной продукции, сырья и продовольствия" на 2019 - 2024 годы
</t>
  </si>
  <si>
    <t>3.5</t>
  </si>
  <si>
    <t>16.2.1</t>
  </si>
  <si>
    <t>Содействие укреплению социального статуса и повышение имиджа предпринимательства</t>
  </si>
  <si>
    <t>16.3.1</t>
  </si>
  <si>
    <t>Комплекс мероприятий по организации и проведению сельскохозяйственных, специализированных, сезонных ярмарок в целях реализации продукции, произведенной местными товаропроизводителями, в том числе сельскохозяйственными организациями, крестьянскими (фермерскими) хозяйствами</t>
  </si>
  <si>
    <t>Выплата денежной компенсации за найм жилых помещений специалистам ОГБУЗ "Тайшетская районная больница"</t>
  </si>
  <si>
    <t>МП "Муниципальное управление"</t>
  </si>
  <si>
    <t>16.1.4</t>
  </si>
  <si>
    <t>Поддержка субъектов инвестиционной деятельности, реализующих и (или) планирующих реализацию инвестиционных проектов на территории муниципального образования «Тайшетский район» через доступные органам местного самоуправления инструменты</t>
  </si>
  <si>
    <t>Повышение квалификации муниципальных служащих (без отрыва от производства, с отрывом от производства, дистационно с применением современных образовательных технологий), включая участие в краткосрочных семинарах</t>
  </si>
  <si>
    <t>Проект МП "Муниципальное управление"</t>
  </si>
  <si>
    <t xml:space="preserve">  Строительство станции юных натуралистов и юных техников  МБУДО ЦДО Радуга</t>
  </si>
  <si>
    <t>19.3</t>
  </si>
  <si>
    <t>19.3.2</t>
  </si>
  <si>
    <t>19.3.3</t>
  </si>
  <si>
    <t>19.3.4</t>
  </si>
  <si>
    <t>19.4</t>
  </si>
  <si>
    <t>20.1.4</t>
  </si>
  <si>
    <t>20.1.5</t>
  </si>
  <si>
    <t>20.1.7</t>
  </si>
  <si>
    <t>20.1.8</t>
  </si>
  <si>
    <t>20.2.6</t>
  </si>
  <si>
    <t>20.2.7</t>
  </si>
  <si>
    <t>20.2.8</t>
  </si>
  <si>
    <t>4.19</t>
  </si>
  <si>
    <t>Строительство Дома культуры в с. Бирюса</t>
  </si>
  <si>
    <t>5000т</t>
  </si>
  <si>
    <t>3500т</t>
  </si>
  <si>
    <t>10940т</t>
  </si>
  <si>
    <t>15.5</t>
  </si>
  <si>
    <t>15.10</t>
  </si>
  <si>
    <t>Инвестиционный проект "Строительство животноводческой фермы молочного направления на базе ИП глава КФХ Холупенко С.П." в д.Талая</t>
  </si>
  <si>
    <t>15.11</t>
  </si>
  <si>
    <t>15.12</t>
  </si>
  <si>
    <t>15.13</t>
  </si>
  <si>
    <t>15.14</t>
  </si>
  <si>
    <t>15.15</t>
  </si>
  <si>
    <t>15.16</t>
  </si>
  <si>
    <t>4.20</t>
  </si>
  <si>
    <t>Благоустройство парка отдыха и культуры в р.п. Новобирюсинский</t>
  </si>
  <si>
    <t>5.1</t>
  </si>
  <si>
    <t>5.2</t>
  </si>
  <si>
    <t>5.3</t>
  </si>
  <si>
    <t>5.4</t>
  </si>
  <si>
    <t>5.7</t>
  </si>
  <si>
    <t>5.8</t>
  </si>
  <si>
    <t>5.9</t>
  </si>
  <si>
    <t>5.10</t>
  </si>
  <si>
    <t>5.13</t>
  </si>
  <si>
    <t>Реконструкция тепловых сетей от котельной №1 на жилые дома</t>
  </si>
  <si>
    <t xml:space="preserve">ГП Иркутской области "Развитие жилищно-коммунального хозяйства и повышение энергоэффективности Иркутской области"
</t>
  </si>
  <si>
    <t>Реконструкция водонапорной башни</t>
  </si>
  <si>
    <t>Министерство здравоохранения Иркутской области</t>
  </si>
  <si>
    <t>Развитие и значимая поддержка института старост населенных пунктов Тайшетского района</t>
  </si>
  <si>
    <t>МКУ "Служба ГО и ЧС"</t>
  </si>
  <si>
    <t>80 мест</t>
  </si>
  <si>
    <t>Строительство детской спортивно-игровой площадки, р.п. Шиткино</t>
  </si>
  <si>
    <t>8.4</t>
  </si>
  <si>
    <t>Капитальный ремонт автомобильного моста в р.п. Шиткино</t>
  </si>
  <si>
    <t>90 м2</t>
  </si>
  <si>
    <t>8.5</t>
  </si>
  <si>
    <t>Строительство автомобильной дороги Тайшет-Шиткино-Шелаево на участке 141+547 км. 159+600 в Тайшетском районе Иркутской области</t>
  </si>
  <si>
    <t>Министерство строительства, дорожного хозяйства Иркутско области, ОГКУ "Дирекция по строительству и эксплуатации автомобильных дорог Иркутской области"</t>
  </si>
  <si>
    <t>18 км</t>
  </si>
  <si>
    <t xml:space="preserve">Приобретение и установка блочно-модульных  котельных,  котельно и котельно-вспомогательного оборудования Терморобот на объекты социальной сферы для муниципальных нужд администрации Тайшетского района  </t>
  </si>
  <si>
    <t>Приобретение и установка блочно-модульных  котельных,  котельно и котельно-вспомогательного оборудования Терморобот, мощностью 150 кВТ на объекты социальной сферы для муниципальных нужд администрации Тайшетского района в котельную, расположенную по адресу: Тайшетский район, пос.ж/д ст. Разгон, ул. Школьная, д.1</t>
  </si>
  <si>
    <t>150 кВт</t>
  </si>
  <si>
    <t>Приобретение и установка блочно-модульных  котельных,  котельно и котельно-вспомогательного оборудования Терморобот, мощностью 600 кВТ на объекты социальной сферы для муниципальных нужд администрации Тайшетского района в котельную, расположенную по адресу: Тайшетский район, п. Соляная, ул. Школьная, д.6В</t>
  </si>
  <si>
    <t>600 кВт</t>
  </si>
  <si>
    <t>Приобретение и установка блочно-модульных  котельных,  котельно и котельно-вспомогательного оборудования Терморобот, мощностью 200 кВТ на объекты социальной сферы для муниципальных нужд администрации Тайшетского района в котельную, расположенную по адресу: Тайшетский район, п. Черчет, ул. Ленина, д.37А</t>
  </si>
  <si>
    <t>200 кВт</t>
  </si>
  <si>
    <t>Приобретение и установка блочно-модульных  котельных,  котельно и котельно-вспомогательного оборудования Терморобот, мощностью 600 кВТ на объекты социальной сферы для муниципальных нужд администрации Тайшетского района в котельную, расположенную по адресу: Тайшетский район, с. Джогино, ул. Больничная, д.3А</t>
  </si>
  <si>
    <t>600кВт</t>
  </si>
  <si>
    <t>Приобретение и установка блочно-модульных  котельных,  котельно и котельно-вспомогательного оборудования Терморобот, мощностью 200 кВТ на объекты социальной сферы для муниципальных нужд администрации Тайшетского района в котельную, расположенную по адресу: Тайшетский район, с. Нижняя Заимка, ул. Пионерская, д.1Б</t>
  </si>
  <si>
    <t>Приобретение и установка блочно-модульных  котельных,  котельно и котельно-вспомогательного оборудования Терморобот, мощностью 600 кВТ на объекты социальной сферы для муниципальных нужд администрации Тайшетского района в котельную, расположенную по адресу: Тайшетский район, р.п. Шиткино, ул. Барковская, д.21Н</t>
  </si>
  <si>
    <t>600 кВТ</t>
  </si>
  <si>
    <t>Приобретение и установка блочно-модульных  котельных,  котельно и котельно-вспомогательного оборудования Терморобот, мощностью 300 кВТ на объекты социальной сферы для муниципальных нужд администрации Тайшетского района в котельную, расположенную по адресу: Тайшетский район, р.п. Шиткино, ул. Богдана Хмельницкого, д.23Н</t>
  </si>
  <si>
    <t>Приобретение и установка блочно-модульных  котельных,  котельно и котельно-вспомогательного оборудования Терморобот, мощностью 600 кВТ на объекты социальной сферы для муниципальных нужд администрации Тайшетского района в котельную, расположенную по адресу: Тайшетский район, п. Новотремино, ул. Зеленая, д.3А</t>
  </si>
  <si>
    <t>Приобретение и установка блочно-модульных  котельных,  котельно и котельно-вспомогательного оборудования Терморобот, мощностью 1200 кВТ на объекты социальной сферы для муниципальных нужд администрации Тайшетского района в котельную, расположенную по адресу: Тайшетский район, г. Бирюсинск, ул. Ленина, д.65</t>
  </si>
  <si>
    <t>Организация предупредительных мер по сокращению производственного травматизма и профессиональных заболеваний</t>
  </si>
  <si>
    <t xml:space="preserve">Разработка прогноза баланса трудовых ресурсов на основе анализа ситуации на рынке труда в МО "Тайшетский район" </t>
  </si>
  <si>
    <t>6.3</t>
  </si>
  <si>
    <t>Поддержка и развитие социальной активности молодежи на территории Тайшетского района</t>
  </si>
  <si>
    <t>348 мест</t>
  </si>
  <si>
    <t>ГП Иркутской области "Реализация государственной политики в сфере строительства, дорожного хозяйства"</t>
  </si>
  <si>
    <t xml:space="preserve">Реализация федерального проекта "Устранение цифрового неравенства" и "Цифровая экономика" </t>
  </si>
  <si>
    <t>ПАО "Ростелеком"</t>
  </si>
  <si>
    <t>Совершенствование и развитие ЕДДС Тайшетского района, в том числе укомплектование и обучения высококвалифицированными специалистами, развитие систем 112</t>
  </si>
  <si>
    <t>12.9</t>
  </si>
  <si>
    <t>12.10</t>
  </si>
  <si>
    <t>12.11</t>
  </si>
  <si>
    <t>12.12</t>
  </si>
  <si>
    <t>12.13</t>
  </si>
  <si>
    <t>12.14</t>
  </si>
  <si>
    <t>12.15</t>
  </si>
  <si>
    <t>12.18</t>
  </si>
  <si>
    <t>Актуализация документов территориального планирования</t>
  </si>
  <si>
    <t>Комитет по управлению муниципальным имуществом, строительству, архитектуре и жилищно-коммунальному хозяйству</t>
  </si>
  <si>
    <t>5.11</t>
  </si>
  <si>
    <t>5.12</t>
  </si>
  <si>
    <t>1.3</t>
  </si>
  <si>
    <t xml:space="preserve">Капитальный ремонт  МКОУ СОШ № 17 р.п. Юрты </t>
  </si>
  <si>
    <t>206 м</t>
  </si>
  <si>
    <t>8.6</t>
  </si>
  <si>
    <t>3 км</t>
  </si>
  <si>
    <t>14.3</t>
  </si>
  <si>
    <t>Управление культуры, спорта и молодежной политике администрации Тайшетского района</t>
  </si>
  <si>
    <t>Проведение рейдов по уничтожению дикорастущей конопли в муниципальном образовании "Тайшетский район"</t>
  </si>
  <si>
    <t>120 чел.</t>
  </si>
  <si>
    <t>Проект МП "Повышение эффективности управления муниципальным имуществом муниципального образования "Тайшетский район"</t>
  </si>
  <si>
    <t>2019-2030</t>
  </si>
  <si>
    <t>Капитальный  ремонт МКДОУ детский сад №3 г.Тайшета</t>
  </si>
  <si>
    <t>8.1.1</t>
  </si>
  <si>
    <t xml:space="preserve">Строительство детского сада в г. Тайшете </t>
  </si>
  <si>
    <t xml:space="preserve"> Капитальный ремонт МКОУ СОШ № 14 г. Тайшета </t>
  </si>
  <si>
    <t>Капитальный ремонт МКОУ СОШ №5 г.Тайшет</t>
  </si>
  <si>
    <t xml:space="preserve">Капитальный ремонт МКОУ  Шелеховской СОШ </t>
  </si>
  <si>
    <t xml:space="preserve">Капитальный ремонт МКДОУ детский сад № 3 г. Бирюсинска </t>
  </si>
  <si>
    <t>8.7</t>
  </si>
  <si>
    <t>Разработка проектно-сметной документации на строительство, реконструкцию и ремонт объектов муниципальной собственности</t>
  </si>
  <si>
    <t>Капитальный ремонт МКДОУ №5 г. Тайшета</t>
  </si>
  <si>
    <t>Капитальный ремонт МКДОУ Борисовский детский сад</t>
  </si>
  <si>
    <t>Капитальный ремонт МКДОУ Новобирюсинский детский сад "Солнышко"</t>
  </si>
  <si>
    <t>Капитальный ремонт МКОУ Тамтачетская СОШ</t>
  </si>
  <si>
    <t>Капитальный ремонт МКДОУ Шелаевский детский сад</t>
  </si>
  <si>
    <t>Капитальный ремонт МКДОУ Шиткинский детский сад "Петушок"</t>
  </si>
  <si>
    <t>Начальник Управления экономики и промышленной политики</t>
  </si>
  <si>
    <t>Н.В. Климанова</t>
  </si>
  <si>
    <t xml:space="preserve">Приложение  
к постановлению администрации Тайшетского района
от "05" апреля          2019  № 181
</t>
  </si>
  <si>
    <t>ЗАО "Байкалэнерго" (техническое перевооружение тепловой сети, техническое перевооружение оборудования, контрольно-измерительных приборов, устройство приборов учета, модернизация, реконструкция  насосного оборудования, строительство периметрального ограждения котельной № 3, модернизация насосного оборудования,  техническое перевооружение контрольно-измерительных приборов и автоматики котлов, модернизация оборудования ХВО котельной 1-ой очереди, техническое перевооружение оборудования подставнции ТП -16  котельной 1-ой очереди, реконструкция тепловых  сетей, реконструкция энергоснабжения котельной,  строительство  арочного автотранспортного бокса, реконструкция здания топливоподачи котельной, модернизация золоулавливающих установок котлов, устройство организованного стока)</t>
  </si>
  <si>
    <t>МП "Развитие экономического потенциала на территории Тайшетского района"</t>
  </si>
  <si>
    <t>Проект МП "Развитие экономического потенциала на территории Тайшетского района"</t>
  </si>
  <si>
    <t xml:space="preserve"> Проект МП "Развитие экономического потенциала на территории Тайшетского района"</t>
  </si>
  <si>
    <t>Проект МП "Развитие культуры, спорта и молодежной политики на территории Тайшетского района"</t>
  </si>
  <si>
    <t xml:space="preserve"> МП "Развитие культуры, спорта и молодежной политики на территории Тайшетского района"</t>
  </si>
  <si>
    <t xml:space="preserve"> МП "Развитие культуры, спорта и молодежной политики"</t>
  </si>
  <si>
    <t>МП "Молодым семьям-доступное жилье"</t>
  </si>
  <si>
    <t>МП "Развитие культуры, спорта и молодежной политики"</t>
  </si>
  <si>
    <t xml:space="preserve">МП "Молодым семьям-доступное жилье"  </t>
  </si>
  <si>
    <t>переносится на 2020 год</t>
  </si>
  <si>
    <t>до 400 тыс.тонн обожженных анодов в год</t>
  </si>
  <si>
    <t>ООО "ОК РУСАЛ  "Анодная Фабрика"</t>
  </si>
  <si>
    <t>ООО "РУСАЛ Тайшетский Алюминиевый завод"</t>
  </si>
  <si>
    <t>5.14.</t>
  </si>
  <si>
    <t>Строительство  многофункциональной спортивной площадки, с.Березовка</t>
  </si>
  <si>
    <t xml:space="preserve"> МО "Березовское сельское поселение"</t>
  </si>
  <si>
    <t>Реконструкция парка отдыха в с.Березовка</t>
  </si>
  <si>
    <t>4.21.</t>
  </si>
  <si>
    <t>Строительство храма  в с.Березовка</t>
  </si>
  <si>
    <t>4.22.</t>
  </si>
  <si>
    <t>МО "Березовское сельское поселение"</t>
  </si>
  <si>
    <t>5,12 тыс. кв.м</t>
  </si>
  <si>
    <t>0,21 тыс. кв.м</t>
  </si>
  <si>
    <t>ООО "Транснефть-Восток"</t>
  </si>
  <si>
    <t xml:space="preserve"> МП "Охрана  труда"</t>
  </si>
  <si>
    <t>Проект МП "Охрана  труда"</t>
  </si>
  <si>
    <t xml:space="preserve"> Строительство пешеходного перехода (моста) в с. Новотремино</t>
  </si>
  <si>
    <t>Строительство пешеходного  перехода (моста) в с. Бирюса</t>
  </si>
  <si>
    <t>МП "Обеспечение общественной безопасности, профилактики правонарушений и социального сиротства на территории Тайшетского района" на 2020-2025 годы</t>
  </si>
  <si>
    <t>Профилактика  употребления и распространения наркотических средств и психотропных веществ</t>
  </si>
  <si>
    <t>14.4.</t>
  </si>
  <si>
    <t xml:space="preserve">МП "Обеспечение общественной безопасности, профилактики правонарушений и социального сиротства на территории Тайшетского района" </t>
  </si>
  <si>
    <t xml:space="preserve">Проект МП "Обеспечение общественной безопасности, профилактики правонарушений и социального сиротства на территории Тайшетского района" </t>
  </si>
  <si>
    <t>Строительство поселкового спортивного зала при МКУК Шиткинский ДД и Т</t>
  </si>
  <si>
    <t>Приобретение и устройсто  пандуса (подъемного устройства) для инвалидов на центральном  входе МКУ ДО ТДХШ</t>
  </si>
  <si>
    <t>Приобретение вспомогательных средств, носителей информации  для создания безбарьерной среды жизнедеятельности инвалидов и других маломобильных групп населения в МБУК МРДК "Юбилейный"</t>
  </si>
  <si>
    <t>Приобретение вспомогательных средств, носителей информации  для создания безбарьерной среды жизнедеятельности инвалидов и других маломобильных групп населения в МКУ ДО ДШИ г.Бирюсинска</t>
  </si>
  <si>
    <t>Приобретение вспомогательных средств, носителей информации  для создания безбарьерной среды жизнедеятельности инвалидов и других маломобильных групп населения в МКУ ДО ТДХШ</t>
  </si>
  <si>
    <t>Приобретение вспомогательных средств, носителей информации  для создания безбарьерной среды жизнедеятельности инвалидов и других маломобильных групп населения в МКУК "КМ" Бирюсинска</t>
  </si>
  <si>
    <t>Приобретение вспомогательных средств, носителей информации  для создания безбарьерной среды жизнедеятельности инвалидов и других маломобильных групп населения в МКУК "МБС Тайшетского района"</t>
  </si>
  <si>
    <t>Повышение доступности объектов культуры  для инвалидов  и других маломобильных групп населения</t>
  </si>
  <si>
    <t>19.5.1.</t>
  </si>
  <si>
    <t>19.5.2</t>
  </si>
  <si>
    <t>19.5.3.</t>
  </si>
  <si>
    <t>19.5.4.</t>
  </si>
  <si>
    <t>19.5.5.</t>
  </si>
  <si>
    <t>19.5.6.</t>
  </si>
  <si>
    <t>200 пос/мест</t>
  </si>
  <si>
    <t xml:space="preserve">Ремонт (текущий ремонт фойе, зрительный зал, малый зал) МКУК Центр Досуга "Сибирь"    в р.п.Юрты </t>
  </si>
  <si>
    <t>МО "Юртинское городское поселение"</t>
  </si>
  <si>
    <t xml:space="preserve">ГП Иркутской области "Формирование современной городской среды";  МП "Формированиесовременной городской среды Новобирюсинского муниципального образования" </t>
  </si>
  <si>
    <t>Отдел сельского хозяйства администрации Тайшетского района</t>
  </si>
  <si>
    <t>Обеспечение  осуществления внутреннего муниципального финансового  контроля в сфере бюджетных  правоотношений и контроля в сфере закупок товаров, работ, услуг  в Тайшетском районе</t>
  </si>
  <si>
    <t>18.2.</t>
  </si>
  <si>
    <t>18.3</t>
  </si>
  <si>
    <t>Повышение финансовой устойчивости муниципальных образований, находящихся на территории Тайшетского района, создание равных условий для устойчивого исполнения расходных обязательств муниципальных образований Тайшетского района</t>
  </si>
  <si>
    <t>Автомобильная  дорога Гоголевка-Борисово, объекты сельхозназначения, расположенные в д.Сафроновка Тайшетского района (коровник, ферма, трансформаторная); и в с.Рождественка Тайшетского района (коровник №1, коровник №2, коровник №3, административно-бытовое здание, склад, гараж, силовые хранилища, здание кормодробилки)</t>
  </si>
  <si>
    <t>Автомобильная дорога (подъезд к п.Полинчет, здания: столярки, лесоцеха, соцкультбыта, автогаража), водонапорная башня в п.Шиткино Тайшетского района</t>
  </si>
  <si>
    <t>Автомобильная дорога (подъезд к с.Талая), здания зерноскладов, фермы, машинный двор, водонапорная башня (с.Шелаево), здание гаража (с.Борисово)</t>
  </si>
  <si>
    <t>Здание машиноведения, здание художественной школы (п.Шиткино), здание гаража (п.Юрты), здание гаража (с.Талая)</t>
  </si>
  <si>
    <t>Автомобильная дорога Талая-Георгиевка, здание магазина (п.Шиткино),  здание школы (с.Рождественка), здание (с.Сереброво)</t>
  </si>
  <si>
    <t>Земельный участок под автомобильной дорогой  Туманшет-Венгерка;формирование земельных участков для строительства объектов - средней школы на 154 места и детского сада на 110 мест в с.Бирюса Тайшетского района</t>
  </si>
  <si>
    <t>Земельный участок под автомобильной дорогой  Тайшет-Парижская Коммуна, подъезд к д.Черемшанка</t>
  </si>
  <si>
    <t>Создание  системы звукового оповещения населения на территории Тайшетского района</t>
  </si>
  <si>
    <t>МП "Безопасность"</t>
  </si>
  <si>
    <t>Организация и проведение на территории Тайшетского района мероприятий по предупреждению и ликвидации чрезвычайных ситуаций  природного и техногенного характера</t>
  </si>
  <si>
    <t>проект МП "Безопасность"</t>
  </si>
  <si>
    <t>Безопасность</t>
  </si>
  <si>
    <t>22</t>
  </si>
  <si>
    <t>22.1</t>
  </si>
  <si>
    <t>22.2</t>
  </si>
  <si>
    <t>Мощность                                (в соответствующих единицах)</t>
  </si>
  <si>
    <t>Приобретение жилых помещений для  специалистов, в работе которых имеется острая необходимость на территрии Тайшетского района</t>
  </si>
  <si>
    <t>МП "Повышение эффективности управления муниципальным имуществом муниципального образования "Тайшетский район"</t>
  </si>
  <si>
    <t>13.1</t>
  </si>
  <si>
    <t xml:space="preserve">Инженерная защита  от затопления водами р.Бирюса в с.Шелехово Тайшетского района </t>
  </si>
  <si>
    <t>ГП "Охрана  окружающей среды"</t>
  </si>
  <si>
    <t xml:space="preserve">Проект МП "Развитие сельского хозяйства и регулирование рынков сельскохозяйственной продукции, сырья и продовольствия" </t>
  </si>
  <si>
    <t>Приобретение блочно-модульных  котельных  Терморобот, в муниципальную  котельную, оказывающую услуги объектам социальной сферы, находящейся по адресу: Тайшетский район, с.Березовка, ул. Зеленая, д.6А</t>
  </si>
  <si>
    <t>Приобретение блочно-модульных  котельных  Терморобот, в муниципальную  котельную, оказывающую услуги объектам социальной сферы, находящейся по адресу: Тайшетский район, с.Николаевка, ул. 50 лет Октября, д.2А</t>
  </si>
  <si>
    <t>Приобретение блочно-модульных  котельных  Терморобот, в муниципальную  котельную, оказывающую услуги объектам социальной сферы, находящейся по адресу: Тайшетский район, р.п. Юрты, ул. Матросова, д.5</t>
  </si>
  <si>
    <t>1200 кВт</t>
  </si>
  <si>
    <t>800 кВт</t>
  </si>
  <si>
    <t>2.6.2</t>
  </si>
  <si>
    <t xml:space="preserve"> МП "Развитие образования" </t>
  </si>
  <si>
    <t xml:space="preserve">Проект  МП "Развитие образования" </t>
  </si>
  <si>
    <t>Транспорт и дорожная служба</t>
  </si>
  <si>
    <t>Приобретение вспомогательных средств для создания безбарьерной среды жизнедеятельности инвалидов и других маломобильных групп населения МКУ ДМШ № 2</t>
  </si>
  <si>
    <t>19.5.7.</t>
  </si>
  <si>
    <t>Установка пандуса на центральном входе МКУ ДМШ № 2</t>
  </si>
  <si>
    <t>19.5.8.</t>
  </si>
  <si>
    <t xml:space="preserve"> МП "Развитие  образования" </t>
  </si>
  <si>
    <t>Приобретение вспомогательных средств для создания безбарьерной среды жизнедеятельности инвалидов и других маломобильных групп населения Центр культуры и досуга Надежда г.Бирюсинск</t>
  </si>
  <si>
    <t>19.5.9.</t>
  </si>
  <si>
    <t xml:space="preserve">Проект МП "Социальная поддержка отдельных категорий населения муниципального образования "Тайшетский район" </t>
  </si>
  <si>
    <t>Строительство спортзала Муниципального казенного общеобразовательного учреждения средняя общеобразовательная школа Новобирюсинская СОШ</t>
  </si>
  <si>
    <t>Строительство спортзала Муниципального казенного общеобразовательного учреждения Муниципального казенного общеобразовательного учреждения Облепихинская СОШ</t>
  </si>
  <si>
    <t>2.49.</t>
  </si>
  <si>
    <t xml:space="preserve">ГП Иркутской области "Создание новых мест в общеобразовательных организациях в Иркутской области в соответствии с прогнозируемой потребностью и современными условиями обучения", МП "Развитие муниципальной системы образования"  
</t>
  </si>
  <si>
    <t xml:space="preserve">МП "Развитие образования" </t>
  </si>
  <si>
    <t xml:space="preserve">проект МП "Развитие образования" </t>
  </si>
  <si>
    <t xml:space="preserve">Проект МП "Развитие образования" </t>
  </si>
  <si>
    <t xml:space="preserve">Проект МП "Развитие  образования" </t>
  </si>
  <si>
    <t xml:space="preserve">МП "Развитие образования" , Проект МП "Развитие образования" </t>
  </si>
  <si>
    <t xml:space="preserve"> МП "Развитие сельского хозяйства и регулирование рынков сельскохозяйственной продукции, сырья и продовольствия", МП "Развитие сельского хозяйства и регулирование рынков сельскохозяйственной продукции, сырья и продовольствия" </t>
  </si>
  <si>
    <t>4.23.</t>
  </si>
  <si>
    <t>Содержание автомобильных дорог, находящихся в собственности МО "Тайшетский район"</t>
  </si>
  <si>
    <t>МП "Повышение эффективности управления муниципальным имуществом муниципального образования "Тайшетский район" , проект МП "Повышение эффективности управления муниципальным имуществом муниципального образования "Тайшетский район"</t>
  </si>
  <si>
    <t>19.6.</t>
  </si>
  <si>
    <t>Приобретение оборудования  для помещений для детей с ограниченными возможностями здоровья в образовательных организациях</t>
  </si>
  <si>
    <t>МП "Модернизация объектов коммунальной инфраструктуры Бирюсинского муниципального образования "Бирюсинское городское поселение"</t>
  </si>
  <si>
    <t>Приобретение ленточного конвейера</t>
  </si>
  <si>
    <t>Приобретение автоматического угольного котла для котельной ТУСМ</t>
  </si>
  <si>
    <t>МП "Развитие дорожного хозяйства"</t>
  </si>
  <si>
    <t>Осуществление дорожной деятельности в отношении автомобильных дорог общего пользования местного значения вне границ населенных пунктов в границах муниципального района</t>
  </si>
  <si>
    <t>ГП Иркутской области "Реализация государственной политики в сфере строительства, дорожного хозяйства", МП "Развитие дорожного хозяйства"</t>
  </si>
  <si>
    <t>Инвестиционный проект "Строительство  животноводческой фермы мясного направления"  ИП глава КФХ Мацук в п.Новобирюсинск</t>
  </si>
  <si>
    <t>проект МП "Управление муниципальными финансами в муниципальном образовании "Тайшетский район"</t>
  </si>
  <si>
    <t>Приобретение и монтаж котлов КВр-0,63 МВт, дымососа на объекты социальной сферы для муниципальных нужд администрации Тайшетского района в котельную, расположенную по адресу: Тайшетский район, п. Шиткино, ул. Бирюсинская, 14н</t>
  </si>
  <si>
    <t>12.2.</t>
  </si>
  <si>
    <t>12.3.</t>
  </si>
  <si>
    <t>12.4.</t>
  </si>
  <si>
    <t>12.13.1</t>
  </si>
  <si>
    <t>12.13.2</t>
  </si>
  <si>
    <t>12.13.3</t>
  </si>
  <si>
    <t>12.13.4</t>
  </si>
  <si>
    <t>12.13.5</t>
  </si>
  <si>
    <t>12.13.6</t>
  </si>
  <si>
    <t>12.13.7</t>
  </si>
  <si>
    <t>12.13.8</t>
  </si>
  <si>
    <t>12.13.9</t>
  </si>
  <si>
    <t>12.13.10</t>
  </si>
  <si>
    <t>12.13.11.</t>
  </si>
  <si>
    <t>12.13.12.</t>
  </si>
  <si>
    <t>12.13.13.</t>
  </si>
  <si>
    <t>12.15.1</t>
  </si>
  <si>
    <t>12.15.1.2</t>
  </si>
  <si>
    <t>12.15.1.3</t>
  </si>
  <si>
    <t>12.15.2</t>
  </si>
  <si>
    <t>12.15.2.1</t>
  </si>
  <si>
    <t>12.15.2.2</t>
  </si>
  <si>
    <t>12.15.3</t>
  </si>
  <si>
    <t>12.15.3.1</t>
  </si>
  <si>
    <t>12.15.3.2</t>
  </si>
  <si>
    <t>12.15.4</t>
  </si>
  <si>
    <t>12.15.4.1</t>
  </si>
  <si>
    <t>12.15.4.2</t>
  </si>
  <si>
    <t>12.15.4.3</t>
  </si>
  <si>
    <t>12.15.4.4</t>
  </si>
  <si>
    <t>12.15.5</t>
  </si>
  <si>
    <t>12.15.5.1</t>
  </si>
  <si>
    <t>12.15.6</t>
  </si>
  <si>
    <t>12.15.6.1</t>
  </si>
  <si>
    <t>12.17</t>
  </si>
  <si>
    <t>12.20.</t>
  </si>
  <si>
    <t>5.15.</t>
  </si>
  <si>
    <t xml:space="preserve"> МП "Градостроительная политика на территории Тайшетского района", Государственная программа Иркутской области «Развитие и управление имущественным комплексом и земельными ресурсами Иркутской области»</t>
  </si>
  <si>
    <t>Реконструкция здания МКУ ДО ДМШ № 2 г.Тайшета</t>
  </si>
  <si>
    <t>Строительство Библиотеки муниципального казённого учреждения культуры «Рождественский сельский Дом культуры»</t>
  </si>
  <si>
    <t>13.3.</t>
  </si>
  <si>
    <t xml:space="preserve">Капитальный ремонт берегоукрепительных сооружений в п.Соляная на реке Бирюса в Тайшетском районе </t>
  </si>
  <si>
    <t>13.4.</t>
  </si>
  <si>
    <t>Берегоукрепление некапитального характера в п.Соляная на реке Бирюса в Тайшетском районе Иркутской области</t>
  </si>
  <si>
    <t>МО "Тальское сельское поселение"</t>
  </si>
  <si>
    <t>ГП "Развитие сельского хозяйства и регулирование рынков сельскохозяйственной продукции, сырья и продовольствия™</t>
  </si>
  <si>
    <t xml:space="preserve">МП "Развитие  образования" </t>
  </si>
  <si>
    <t xml:space="preserve">Строительство спортивного зала МКОУ СОШ № 6 г. Бирюсинска                                                                                                                                        </t>
  </si>
  <si>
    <t>Приобретение школьных автобусов</t>
  </si>
  <si>
    <t>"Приобретение автобуса для МБУК МРДК "Юбилейный"</t>
  </si>
  <si>
    <t>Приобретение оборудования и литературы для муниципальных учреждений культуры и муниципальных детских школ искусств, пострадавших при чрезвычайной ситуации в связи с паводком, вызванным сильными дождями, прошедшими в июне, июле 2019 года на территории Иркутской области</t>
  </si>
  <si>
    <t>Комплектование книжных фондов муниципальных общедоступных библиотек</t>
  </si>
  <si>
    <t>Строительство школы № 3 в г. Тайшете, ул. Первомайская, 36</t>
  </si>
  <si>
    <t xml:space="preserve">Капитальный ремонт МКОУ СОШ № 1   г. Тайшета </t>
  </si>
  <si>
    <t>13.5.</t>
  </si>
  <si>
    <t>Инженерная защита  от затопления водами р.Бирюса в  п.ШиткиноТайшетского района Иркутской области</t>
  </si>
  <si>
    <t>Обновление персональных компьютеров  в учреждениях культуры</t>
  </si>
  <si>
    <t>22.3.</t>
  </si>
  <si>
    <t>Профессиональная переподготовка и повышение квалификации специалистов ЕДДС</t>
  </si>
  <si>
    <t xml:space="preserve">Строительство  МКДОУ Соляновский детский сад </t>
  </si>
  <si>
    <t>Строительство МКДОУ Шиткинский детский сад</t>
  </si>
  <si>
    <t>ГП Иркутской области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области,  одпрограмма "Строительство, реконтсрукция и капитальный ремонт объектов образования"</t>
  </si>
  <si>
    <t>ОК РУСАЛ</t>
  </si>
  <si>
    <t>220 мест</t>
  </si>
  <si>
    <t>Строительство детского сада в г.Тайшете</t>
  </si>
  <si>
    <t>Строительство МКОУ Тальская основная общеобразовательная школа/сад</t>
  </si>
  <si>
    <t>55 мест</t>
  </si>
  <si>
    <t>154 мест</t>
  </si>
  <si>
    <t xml:space="preserve">Строительство МКОУ Бирюсинская средняя общеобразовательная школа </t>
  </si>
  <si>
    <t xml:space="preserve">Строительство МКОУ Соляновская средняя общеобразовательная школа </t>
  </si>
  <si>
    <t xml:space="preserve">154 места </t>
  </si>
  <si>
    <t>Строительство  школы в г.Тайшете</t>
  </si>
  <si>
    <t>825 мест</t>
  </si>
  <si>
    <t>Устройство ограждения  МКОУ СОШ № 24 п.Юрты</t>
  </si>
  <si>
    <t>Благоустройство зданий муниципальных общеобразовательных организаций</t>
  </si>
  <si>
    <t>Создание в общеобразовательных организациях условий для занятий физической культурой и спортом</t>
  </si>
  <si>
    <t>Проект МП "Развитие экономического потенциала на территории Тайшетского района</t>
  </si>
  <si>
    <t>2.11.</t>
  </si>
  <si>
    <t>2.12.</t>
  </si>
  <si>
    <t>2.13.</t>
  </si>
  <si>
    <t>2.14.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</si>
  <si>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</si>
  <si>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</si>
  <si>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</si>
  <si>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</si>
  <si>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</si>
  <si>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</si>
  <si>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</si>
  <si>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</si>
  <si>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</si>
  <si>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Капитальный ремонт МБУК МРДК "Юбилейный"</t>
  </si>
  <si>
    <t>МО "Шиткинское  городское поселение"</t>
  </si>
  <si>
    <t>21.3.</t>
  </si>
  <si>
    <t>21.2.</t>
  </si>
  <si>
    <t>21.1.</t>
  </si>
  <si>
    <t>Заместитель начальника Управления экономики и промышленной политики</t>
  </si>
  <si>
    <t>В.М. Преловская</t>
  </si>
  <si>
    <t>8.7.</t>
  </si>
  <si>
    <t>8.8.</t>
  </si>
  <si>
    <t>4.19.</t>
  </si>
  <si>
    <t>4.20.</t>
  </si>
  <si>
    <t>4.24.</t>
  </si>
  <si>
    <t>4.25.</t>
  </si>
  <si>
    <t>4.26.</t>
  </si>
  <si>
    <t>4.27.</t>
  </si>
  <si>
    <t xml:space="preserve"> МП "Развитие сельского хозяйства и регулирование рынков сельскохозяйственной продукции, сырья и продовольствия"</t>
  </si>
  <si>
    <t>МО "Соляновское сельское поселение"</t>
  </si>
  <si>
    <t xml:space="preserve">МО "Рождественское сельское поселение" </t>
  </si>
  <si>
    <t>Оценка недвижимости, признание прав и регулирование отношений по государственной и муниципальной собственности</t>
  </si>
  <si>
    <t>20.3.</t>
  </si>
  <si>
    <t>Капитальный ремонт МКОУ Невельская СОШ</t>
  </si>
  <si>
    <t>Капитальный ремонт МКОУ Новобирюсинская СОШ</t>
  </si>
  <si>
    <t xml:space="preserve">Капитальный ремонт  МКОУ СОШ № 23 г.Тайшета </t>
  </si>
  <si>
    <t>2.47.</t>
  </si>
  <si>
    <t>2.48.</t>
  </si>
  <si>
    <t>2.50.</t>
  </si>
  <si>
    <t>2.51.</t>
  </si>
  <si>
    <t>2.52.</t>
  </si>
  <si>
    <t>Капитальный ремонт МКОУ СОШ №10 г. Бирюсинск</t>
  </si>
  <si>
    <t>Инвестиционный проект "Развитие семейной молочной животноводческой фермы на базе ИП Глава КФХ Зверев В.Ю. в с.Половино-Черемхово™</t>
  </si>
  <si>
    <t>ГП Иркутской области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области,  подпрограмма "Строительство, реконтсрукция и капитальный ремонт объектов образования"</t>
  </si>
  <si>
    <t xml:space="preserve"> 
Проект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</si>
</sst>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0"/>
    <numFmt numFmtId="167" formatCode="0.0000"/>
    <numFmt numFmtId="168" formatCode="_-* #,##0.0000_р_._-;\-* #,##0.0000_р_._-;_-* &quot;-&quot;??_р_._-;_-@_-"/>
    <numFmt numFmtId="169" formatCode="0.0"/>
  </numFmts>
  <fonts count="3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10"/>
      <color rgb="FFFF000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0" fillId="0" borderId="0"/>
    <xf numFmtId="0" fontId="19" fillId="0" borderId="0"/>
    <xf numFmtId="0" fontId="1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74">
    <xf numFmtId="0" fontId="0" fillId="0" borderId="0" xfId="0"/>
    <xf numFmtId="49" fontId="6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1" fillId="3" borderId="0" xfId="0" applyFont="1" applyFill="1"/>
    <xf numFmtId="0" fontId="7" fillId="3" borderId="0" xfId="0" applyFont="1" applyFill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/>
    <xf numFmtId="0" fontId="3" fillId="3" borderId="0" xfId="0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" fillId="3" borderId="0" xfId="0" applyFont="1" applyFill="1" applyBorder="1"/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165" fontId="2" fillId="3" borderId="0" xfId="0" applyNumberFormat="1" applyFont="1" applyFill="1"/>
    <xf numFmtId="166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3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166" fontId="13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49" fontId="6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67" fontId="3" fillId="0" borderId="1" xfId="0" applyNumberFormat="1" applyFont="1" applyFill="1" applyBorder="1"/>
    <xf numFmtId="167" fontId="3" fillId="0" borderId="7" xfId="0" applyNumberFormat="1" applyFont="1" applyFill="1" applyBorder="1"/>
    <xf numFmtId="1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/>
    <xf numFmtId="167" fontId="3" fillId="0" borderId="8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3" fillId="0" borderId="4" xfId="0" applyNumberFormat="1" applyFont="1" applyFill="1" applyBorder="1"/>
    <xf numFmtId="1" fontId="3" fillId="0" borderId="1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7" fontId="1" fillId="0" borderId="10" xfId="0" applyNumberFormat="1" applyFont="1" applyFill="1" applyBorder="1" applyAlignment="1">
      <alignment vertical="center" wrapText="1"/>
    </xf>
    <xf numFmtId="167" fontId="1" fillId="0" borderId="11" xfId="0" applyNumberFormat="1" applyFont="1" applyFill="1" applyBorder="1" applyAlignment="1">
      <alignment vertical="center" wrapText="1"/>
    </xf>
    <xf numFmtId="167" fontId="1" fillId="0" borderId="14" xfId="0" applyNumberFormat="1" applyFont="1" applyFill="1" applyBorder="1" applyAlignment="1">
      <alignment vertical="center" wrapText="1"/>
    </xf>
    <xf numFmtId="167" fontId="1" fillId="0" borderId="8" xfId="0" applyNumberFormat="1" applyFont="1" applyFill="1" applyBorder="1" applyAlignment="1">
      <alignment vertical="center" wrapText="1"/>
    </xf>
    <xf numFmtId="167" fontId="1" fillId="0" borderId="13" xfId="0" applyNumberFormat="1" applyFont="1" applyFill="1" applyBorder="1" applyAlignment="1">
      <alignment vertical="center" wrapText="1"/>
    </xf>
    <xf numFmtId="167" fontId="1" fillId="0" borderId="9" xfId="0" applyNumberFormat="1" applyFont="1" applyFill="1" applyBorder="1" applyAlignment="1">
      <alignment vertical="center" wrapText="1"/>
    </xf>
    <xf numFmtId="167" fontId="1" fillId="0" borderId="3" xfId="0" applyNumberFormat="1" applyFont="1" applyFill="1" applyBorder="1" applyAlignment="1">
      <alignment vertical="center" wrapText="1"/>
    </xf>
    <xf numFmtId="167" fontId="1" fillId="0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167" fontId="3" fillId="0" borderId="8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/>
    </xf>
    <xf numFmtId="167" fontId="1" fillId="0" borderId="4" xfId="4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67" fontId="1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167" fontId="3" fillId="4" borderId="7" xfId="0" applyNumberFormat="1" applyFont="1" applyFill="1" applyBorder="1"/>
    <xf numFmtId="0" fontId="1" fillId="4" borderId="0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67" fontId="3" fillId="5" borderId="7" xfId="0" applyNumberFormat="1" applyFont="1" applyFill="1" applyBorder="1" applyAlignment="1">
      <alignment horizontal="center"/>
    </xf>
    <xf numFmtId="167" fontId="3" fillId="5" borderId="7" xfId="0" applyNumberFormat="1" applyFont="1" applyFill="1" applyBorder="1"/>
    <xf numFmtId="1" fontId="3" fillId="5" borderId="7" xfId="0" applyNumberFormat="1" applyFont="1" applyFill="1" applyBorder="1" applyAlignment="1">
      <alignment horizontal="center"/>
    </xf>
    <xf numFmtId="0" fontId="1" fillId="5" borderId="0" xfId="0" applyFont="1" applyFill="1" applyBorder="1"/>
    <xf numFmtId="0" fontId="1" fillId="5" borderId="3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167" fontId="1" fillId="5" borderId="1" xfId="0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7" fontId="3" fillId="7" borderId="1" xfId="0" applyNumberFormat="1" applyFont="1" applyFill="1" applyBorder="1" applyAlignment="1">
      <alignment horizontal="center" vertical="center" wrapText="1"/>
    </xf>
    <xf numFmtId="167" fontId="3" fillId="7" borderId="7" xfId="0" applyNumberFormat="1" applyFont="1" applyFill="1" applyBorder="1"/>
    <xf numFmtId="1" fontId="3" fillId="7" borderId="7" xfId="0" applyNumberFormat="1" applyFont="1" applyFill="1" applyBorder="1" applyAlignment="1">
      <alignment horizontal="center"/>
    </xf>
    <xf numFmtId="0" fontId="1" fillId="7" borderId="0" xfId="0" applyFont="1" applyFill="1" applyBorder="1"/>
    <xf numFmtId="0" fontId="1" fillId="7" borderId="3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3" fillId="7" borderId="8" xfId="0" applyNumberFormat="1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7" fontId="3" fillId="7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4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67" fontId="1" fillId="0" borderId="5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4" xfId="3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167" fontId="1" fillId="0" borderId="6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5" xfId="3" applyFont="1" applyFill="1" applyBorder="1" applyAlignment="1">
      <alignment vertical="center" wrapText="1"/>
    </xf>
    <xf numFmtId="0" fontId="1" fillId="0" borderId="6" xfId="3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167" fontId="3" fillId="0" borderId="6" xfId="0" applyNumberFormat="1" applyFont="1" applyFill="1" applyBorder="1"/>
    <xf numFmtId="0" fontId="3" fillId="0" borderId="9" xfId="0" applyFont="1" applyFill="1" applyBorder="1"/>
    <xf numFmtId="0" fontId="3" fillId="0" borderId="6" xfId="0" applyFont="1" applyFill="1" applyBorder="1"/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/>
    </xf>
    <xf numFmtId="9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7" fontId="3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 wrapText="1"/>
    </xf>
    <xf numFmtId="167" fontId="1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6" xfId="0" applyFont="1" applyFill="1" applyBorder="1"/>
    <xf numFmtId="167" fontId="3" fillId="0" borderId="5" xfId="0" applyNumberFormat="1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vertical="center" wrapText="1"/>
    </xf>
    <xf numFmtId="1" fontId="3" fillId="0" borderId="8" xfId="0" applyNumberFormat="1" applyFont="1" applyFill="1" applyBorder="1" applyAlignment="1">
      <alignment horizontal="center" wrapText="1"/>
    </xf>
    <xf numFmtId="167" fontId="3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67" fontId="1" fillId="0" borderId="8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167" fontId="1" fillId="0" borderId="1" xfId="4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4" xfId="0" applyFont="1" applyFill="1" applyBorder="1"/>
    <xf numFmtId="0" fontId="0" fillId="0" borderId="6" xfId="0" applyFont="1" applyFill="1" applyBorder="1" applyAlignment="1">
      <alignment vertical="top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67" fontId="1" fillId="0" borderId="5" xfId="0" applyNumberFormat="1" applyFont="1" applyFill="1" applyBorder="1" applyAlignment="1">
      <alignment wrapText="1"/>
    </xf>
    <xf numFmtId="0" fontId="1" fillId="0" borderId="4" xfId="3" applyFont="1" applyFill="1" applyBorder="1" applyAlignment="1">
      <alignment vertical="top" wrapText="1"/>
    </xf>
    <xf numFmtId="0" fontId="26" fillId="0" borderId="1" xfId="0" applyFont="1" applyFill="1" applyBorder="1"/>
    <xf numFmtId="167" fontId="3" fillId="0" borderId="1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horizontal="center"/>
    </xf>
    <xf numFmtId="167" fontId="3" fillId="0" borderId="4" xfId="0" applyNumberFormat="1" applyFont="1" applyFill="1" applyBorder="1" applyAlignment="1"/>
    <xf numFmtId="0" fontId="1" fillId="0" borderId="6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7" fontId="3" fillId="6" borderId="7" xfId="0" applyNumberFormat="1" applyFont="1" applyFill="1" applyBorder="1" applyAlignment="1">
      <alignment horizontal="center"/>
    </xf>
    <xf numFmtId="167" fontId="1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167" fontId="1" fillId="6" borderId="0" xfId="0" applyNumberFormat="1" applyFont="1" applyFill="1" applyBorder="1" applyAlignment="1">
      <alignment horizontal="center" wrapText="1"/>
    </xf>
    <xf numFmtId="167" fontId="1" fillId="6" borderId="14" xfId="0" applyNumberFormat="1" applyFont="1" applyFill="1" applyBorder="1" applyAlignment="1">
      <alignment vertical="center" wrapText="1"/>
    </xf>
    <xf numFmtId="167" fontId="1" fillId="6" borderId="15" xfId="0" applyNumberFormat="1" applyFont="1" applyFill="1" applyBorder="1" applyAlignment="1">
      <alignment vertical="center" wrapText="1"/>
    </xf>
    <xf numFmtId="167" fontId="1" fillId="6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8" fontId="1" fillId="0" borderId="1" xfId="4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24" fillId="6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0" fillId="6" borderId="0" xfId="0" applyFont="1" applyFill="1" applyBorder="1" applyAlignment="1"/>
    <xf numFmtId="0" fontId="0" fillId="0" borderId="8" xfId="0" applyFont="1" applyFill="1" applyBorder="1" applyAlignment="1"/>
    <xf numFmtId="0" fontId="0" fillId="0" borderId="13" xfId="0" applyFont="1" applyFill="1" applyBorder="1" applyAlignment="1"/>
    <xf numFmtId="0" fontId="0" fillId="6" borderId="13" xfId="0" applyFont="1" applyFill="1" applyBorder="1" applyAlignment="1"/>
    <xf numFmtId="0" fontId="0" fillId="0" borderId="13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vertical="top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167" fontId="3" fillId="8" borderId="1" xfId="0" applyNumberFormat="1" applyFont="1" applyFill="1" applyBorder="1" applyAlignment="1">
      <alignment horizontal="center" vertical="center" wrapText="1"/>
    </xf>
    <xf numFmtId="167" fontId="3" fillId="8" borderId="7" xfId="0" applyNumberFormat="1" applyFont="1" applyFill="1" applyBorder="1" applyAlignment="1">
      <alignment horizontal="center"/>
    </xf>
    <xf numFmtId="167" fontId="3" fillId="8" borderId="7" xfId="0" applyNumberFormat="1" applyFont="1" applyFill="1" applyBorder="1"/>
    <xf numFmtId="1" fontId="3" fillId="8" borderId="7" xfId="0" applyNumberFormat="1" applyFont="1" applyFill="1" applyBorder="1" applyAlignment="1">
      <alignment horizontal="center"/>
    </xf>
    <xf numFmtId="0" fontId="1" fillId="8" borderId="0" xfId="0" applyFont="1" applyFill="1" applyBorder="1"/>
    <xf numFmtId="0" fontId="1" fillId="8" borderId="3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/>
    <xf numFmtId="0" fontId="3" fillId="9" borderId="1" xfId="0" applyFont="1" applyFill="1" applyBorder="1" applyAlignment="1">
      <alignment horizontal="center" vertical="center" wrapText="1"/>
    </xf>
    <xf numFmtId="167" fontId="3" fillId="9" borderId="1" xfId="0" applyNumberFormat="1" applyFont="1" applyFill="1" applyBorder="1" applyAlignment="1">
      <alignment horizontal="center" vertical="center" wrapText="1"/>
    </xf>
    <xf numFmtId="167" fontId="3" fillId="9" borderId="7" xfId="0" applyNumberFormat="1" applyFont="1" applyFill="1" applyBorder="1" applyAlignment="1">
      <alignment horizontal="center"/>
    </xf>
    <xf numFmtId="9" fontId="3" fillId="9" borderId="7" xfId="0" applyNumberFormat="1" applyFont="1" applyFill="1" applyBorder="1" applyAlignment="1">
      <alignment horizontal="center"/>
    </xf>
    <xf numFmtId="167" fontId="3" fillId="9" borderId="7" xfId="0" applyNumberFormat="1" applyFont="1" applyFill="1" applyBorder="1"/>
    <xf numFmtId="1" fontId="3" fillId="9" borderId="7" xfId="0" applyNumberFormat="1" applyFont="1" applyFill="1" applyBorder="1" applyAlignment="1">
      <alignment horizontal="center"/>
    </xf>
    <xf numFmtId="0" fontId="1" fillId="9" borderId="0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0" fontId="1" fillId="9" borderId="4" xfId="0" applyFont="1" applyFill="1" applyBorder="1" applyAlignment="1"/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1" fillId="9" borderId="7" xfId="0" applyNumberFormat="1" applyFont="1" applyFill="1" applyBorder="1" applyAlignment="1">
      <alignment horizontal="center"/>
    </xf>
    <xf numFmtId="167" fontId="3" fillId="4" borderId="7" xfId="0" applyNumberFormat="1" applyFont="1" applyFill="1" applyBorder="1" applyAlignment="1">
      <alignment horizontal="center"/>
    </xf>
    <xf numFmtId="9" fontId="1" fillId="4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0" fillId="8" borderId="5" xfId="0" applyFont="1" applyFill="1" applyBorder="1" applyAlignment="1"/>
    <xf numFmtId="167" fontId="3" fillId="8" borderId="5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 wrapText="1"/>
    </xf>
    <xf numFmtId="167" fontId="3" fillId="8" borderId="8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vertical="top" wrapText="1"/>
    </xf>
    <xf numFmtId="167" fontId="3" fillId="8" borderId="6" xfId="0" applyNumberFormat="1" applyFont="1" applyFill="1" applyBorder="1" applyAlignment="1"/>
    <xf numFmtId="1" fontId="1" fillId="8" borderId="6" xfId="0" applyNumberFormat="1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top" wrapText="1"/>
    </xf>
    <xf numFmtId="0" fontId="0" fillId="8" borderId="5" xfId="0" applyFont="1" applyFill="1" applyBorder="1" applyAlignment="1">
      <alignment vertical="top" wrapText="1"/>
    </xf>
    <xf numFmtId="0" fontId="1" fillId="8" borderId="4" xfId="0" applyFont="1" applyFill="1" applyBorder="1" applyAlignment="1">
      <alignment vertical="center" wrapText="1"/>
    </xf>
    <xf numFmtId="9" fontId="1" fillId="8" borderId="10" xfId="0" applyNumberFormat="1" applyFont="1" applyFill="1" applyBorder="1" applyAlignment="1">
      <alignment horizontal="center"/>
    </xf>
    <xf numFmtId="1" fontId="1" fillId="8" borderId="10" xfId="0" applyNumberFormat="1" applyFont="1" applyFill="1" applyBorder="1" applyAlignment="1">
      <alignment horizontal="center"/>
    </xf>
    <xf numFmtId="167" fontId="3" fillId="8" borderId="12" xfId="0" applyNumberFormat="1" applyFont="1" applyFill="1" applyBorder="1" applyAlignment="1">
      <alignment horizontal="center" vertical="center"/>
    </xf>
    <xf numFmtId="1" fontId="1" fillId="8" borderId="12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wrapText="1"/>
    </xf>
    <xf numFmtId="49" fontId="6" fillId="8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7" fontId="1" fillId="8" borderId="7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 vertical="center"/>
    </xf>
    <xf numFmtId="0" fontId="0" fillId="7" borderId="5" xfId="0" applyFont="1" applyFill="1" applyBorder="1" applyAlignment="1"/>
    <xf numFmtId="0" fontId="1" fillId="7" borderId="6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/>
    <xf numFmtId="167" fontId="3" fillId="7" borderId="4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 vertical="center"/>
    </xf>
    <xf numFmtId="167" fontId="3" fillId="7" borderId="5" xfId="0" applyNumberFormat="1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vertical="top"/>
    </xf>
    <xf numFmtId="0" fontId="1" fillId="10" borderId="1" xfId="0" applyFont="1" applyFill="1" applyBorder="1" applyAlignment="1">
      <alignment horizontal="center" vertical="center" wrapText="1"/>
    </xf>
    <xf numFmtId="167" fontId="1" fillId="10" borderId="1" xfId="0" applyNumberFormat="1" applyFont="1" applyFill="1" applyBorder="1" applyAlignment="1">
      <alignment horizontal="center" vertical="center" wrapText="1"/>
    </xf>
    <xf numFmtId="167" fontId="3" fillId="10" borderId="7" xfId="0" applyNumberFormat="1" applyFont="1" applyFill="1" applyBorder="1" applyAlignment="1">
      <alignment horizontal="center"/>
    </xf>
    <xf numFmtId="167" fontId="3" fillId="10" borderId="7" xfId="0" applyNumberFormat="1" applyFont="1" applyFill="1" applyBorder="1"/>
    <xf numFmtId="1" fontId="3" fillId="10" borderId="7" xfId="0" applyNumberFormat="1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3" xfId="0" applyFont="1" applyFill="1" applyBorder="1"/>
    <xf numFmtId="0" fontId="1" fillId="10" borderId="1" xfId="0" applyFont="1" applyFill="1" applyBorder="1"/>
    <xf numFmtId="0" fontId="0" fillId="7" borderId="5" xfId="0" applyFont="1" applyFill="1" applyBorder="1" applyAlignment="1">
      <alignment vertical="top"/>
    </xf>
    <xf numFmtId="0" fontId="1" fillId="7" borderId="4" xfId="0" applyFont="1" applyFill="1" applyBorder="1" applyAlignment="1">
      <alignment horizontal="center" vertical="center" wrapText="1"/>
    </xf>
    <xf numFmtId="167" fontId="1" fillId="7" borderId="4" xfId="0" applyNumberFormat="1" applyFont="1" applyFill="1" applyBorder="1" applyAlignment="1">
      <alignment horizontal="center" vertical="center" wrapText="1"/>
    </xf>
    <xf numFmtId="167" fontId="3" fillId="7" borderId="10" xfId="0" applyNumberFormat="1" applyFont="1" applyFill="1" applyBorder="1" applyAlignment="1">
      <alignment horizontal="center"/>
    </xf>
    <xf numFmtId="167" fontId="3" fillId="7" borderId="10" xfId="0" applyNumberFormat="1" applyFont="1" applyFill="1" applyBorder="1"/>
    <xf numFmtId="0" fontId="3" fillId="7" borderId="0" xfId="0" applyFont="1" applyFill="1" applyBorder="1"/>
    <xf numFmtId="0" fontId="3" fillId="7" borderId="14" xfId="0" applyFont="1" applyFill="1" applyBorder="1"/>
    <xf numFmtId="0" fontId="3" fillId="7" borderId="4" xfId="0" applyFont="1" applyFill="1" applyBorder="1"/>
    <xf numFmtId="0" fontId="1" fillId="7" borderId="8" xfId="0" applyFont="1" applyFill="1" applyBorder="1" applyAlignment="1">
      <alignment horizontal="center" wrapText="1"/>
    </xf>
    <xf numFmtId="167" fontId="1" fillId="7" borderId="8" xfId="0" applyNumberFormat="1" applyFont="1" applyFill="1" applyBorder="1" applyAlignment="1">
      <alignment vertical="center" wrapText="1"/>
    </xf>
    <xf numFmtId="1" fontId="3" fillId="7" borderId="8" xfId="0" applyNumberFormat="1" applyFont="1" applyFill="1" applyBorder="1" applyAlignment="1">
      <alignment horizontal="center" wrapText="1"/>
    </xf>
    <xf numFmtId="167" fontId="1" fillId="7" borderId="7" xfId="0" applyNumberFormat="1" applyFont="1" applyFill="1" applyBorder="1" applyAlignment="1">
      <alignment horizontal="center"/>
    </xf>
    <xf numFmtId="1" fontId="1" fillId="7" borderId="7" xfId="0" applyNumberFormat="1" applyFont="1" applyFill="1" applyBorder="1" applyAlignment="1">
      <alignment horizontal="center"/>
    </xf>
    <xf numFmtId="0" fontId="18" fillId="7" borderId="5" xfId="0" applyFont="1" applyFill="1" applyBorder="1" applyAlignment="1">
      <alignment vertical="center" wrapText="1"/>
    </xf>
    <xf numFmtId="167" fontId="1" fillId="7" borderId="6" xfId="0" applyNumberFormat="1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 wrapText="1"/>
    </xf>
    <xf numFmtId="167" fontId="1" fillId="11" borderId="1" xfId="0" applyNumberFormat="1" applyFont="1" applyFill="1" applyBorder="1" applyAlignment="1">
      <alignment horizontal="center" vertical="center" wrapText="1"/>
    </xf>
    <xf numFmtId="167" fontId="3" fillId="11" borderId="7" xfId="0" applyNumberFormat="1" applyFont="1" applyFill="1" applyBorder="1" applyAlignment="1">
      <alignment horizontal="center"/>
    </xf>
    <xf numFmtId="167" fontId="3" fillId="11" borderId="7" xfId="0" applyNumberFormat="1" applyFont="1" applyFill="1" applyBorder="1"/>
    <xf numFmtId="0" fontId="1" fillId="11" borderId="0" xfId="0" applyFont="1" applyFill="1" applyBorder="1"/>
    <xf numFmtId="0" fontId="1" fillId="11" borderId="3" xfId="0" applyFont="1" applyFill="1" applyBorder="1"/>
    <xf numFmtId="0" fontId="1" fillId="11" borderId="1" xfId="0" applyFont="1" applyFill="1" applyBorder="1"/>
    <xf numFmtId="167" fontId="1" fillId="8" borderId="1" xfId="0" applyNumberFormat="1" applyFont="1" applyFill="1" applyBorder="1" applyAlignment="1">
      <alignment horizontal="center"/>
    </xf>
    <xf numFmtId="167" fontId="1" fillId="8" borderId="1" xfId="0" applyNumberFormat="1" applyFont="1" applyFill="1" applyBorder="1" applyAlignment="1">
      <alignment horizontal="center" vertical="center"/>
    </xf>
    <xf numFmtId="167" fontId="1" fillId="8" borderId="6" xfId="0" applyNumberFormat="1" applyFont="1" applyFill="1" applyBorder="1" applyAlignment="1">
      <alignment wrapText="1"/>
    </xf>
    <xf numFmtId="0" fontId="1" fillId="8" borderId="8" xfId="0" applyFont="1" applyFill="1" applyBorder="1" applyAlignment="1">
      <alignment horizontal="center" vertical="center"/>
    </xf>
    <xf numFmtId="169" fontId="0" fillId="8" borderId="1" xfId="0" applyNumberFormat="1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/>
    </xf>
    <xf numFmtId="167" fontId="3" fillId="6" borderId="1" xfId="0" applyNumberFormat="1" applyFont="1" applyFill="1" applyBorder="1" applyAlignment="1">
      <alignment horizontal="center"/>
    </xf>
    <xf numFmtId="167" fontId="3" fillId="7" borderId="8" xfId="0" applyNumberFormat="1" applyFont="1" applyFill="1" applyBorder="1" applyAlignment="1">
      <alignment horizontal="center" wrapText="1"/>
    </xf>
    <xf numFmtId="1" fontId="3" fillId="7" borderId="8" xfId="0" applyNumberFormat="1" applyFont="1" applyFill="1" applyBorder="1" applyAlignment="1">
      <alignment horizontal="center" vertical="center" wrapText="1"/>
    </xf>
    <xf numFmtId="167" fontId="1" fillId="7" borderId="5" xfId="0" applyNumberFormat="1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top" wrapText="1"/>
    </xf>
    <xf numFmtId="169" fontId="0" fillId="7" borderId="12" xfId="0" applyNumberFormat="1" applyFont="1" applyFill="1" applyBorder="1" applyAlignment="1">
      <alignment horizontal="center" vertical="center"/>
    </xf>
    <xf numFmtId="167" fontId="1" fillId="7" borderId="8" xfId="0" applyNumberFormat="1" applyFont="1" applyFill="1" applyBorder="1" applyAlignment="1">
      <alignment horizontal="center" vertical="center"/>
    </xf>
    <xf numFmtId="167" fontId="3" fillId="11" borderId="8" xfId="0" applyNumberFormat="1" applyFont="1" applyFill="1" applyBorder="1" applyAlignment="1">
      <alignment horizontal="center" wrapText="1"/>
    </xf>
    <xf numFmtId="1" fontId="3" fillId="11" borderId="8" xfId="0" applyNumberFormat="1" applyFont="1" applyFill="1" applyBorder="1" applyAlignment="1">
      <alignment horizontal="center" vertical="center" wrapText="1"/>
    </xf>
    <xf numFmtId="167" fontId="1" fillId="8" borderId="6" xfId="0" applyNumberFormat="1" applyFont="1" applyFill="1" applyBorder="1" applyAlignment="1">
      <alignment horizontal="center" vertical="center" wrapText="1"/>
    </xf>
    <xf numFmtId="167" fontId="1" fillId="4" borderId="4" xfId="0" applyNumberFormat="1" applyFont="1" applyFill="1" applyBorder="1" applyAlignment="1">
      <alignment horizontal="center" vertical="center" wrapText="1"/>
    </xf>
    <xf numFmtId="167" fontId="1" fillId="4" borderId="5" xfId="0" applyNumberFormat="1" applyFont="1" applyFill="1" applyBorder="1" applyAlignment="1">
      <alignment horizontal="center" vertical="center" wrapText="1"/>
    </xf>
    <xf numFmtId="167" fontId="3" fillId="5" borderId="8" xfId="0" applyNumberFormat="1" applyFont="1" applyFill="1" applyBorder="1" applyAlignment="1">
      <alignment horizontal="center"/>
    </xf>
    <xf numFmtId="0" fontId="0" fillId="5" borderId="5" xfId="0" applyFont="1" applyFill="1" applyBorder="1" applyAlignment="1"/>
    <xf numFmtId="0" fontId="1" fillId="5" borderId="1" xfId="0" applyFont="1" applyFill="1" applyBorder="1" applyAlignment="1">
      <alignment vertical="top" wrapText="1"/>
    </xf>
    <xf numFmtId="167" fontId="3" fillId="8" borderId="1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left" vertical="top" wrapText="1"/>
    </xf>
    <xf numFmtId="49" fontId="0" fillId="8" borderId="5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/>
    </xf>
    <xf numFmtId="0" fontId="0" fillId="8" borderId="5" xfId="0" applyFont="1" applyFill="1" applyBorder="1" applyAlignment="1">
      <alignment vertical="top"/>
    </xf>
    <xf numFmtId="167" fontId="3" fillId="8" borderId="4" xfId="0" applyNumberFormat="1" applyFont="1" applyFill="1" applyBorder="1" applyAlignment="1">
      <alignment horizontal="center"/>
    </xf>
    <xf numFmtId="167" fontId="1" fillId="8" borderId="4" xfId="0" applyNumberFormat="1" applyFont="1" applyFill="1" applyBorder="1" applyAlignment="1">
      <alignment horizontal="center" vertical="center" wrapText="1"/>
    </xf>
    <xf numFmtId="167" fontId="3" fillId="8" borderId="10" xfId="0" applyNumberFormat="1" applyFont="1" applyFill="1" applyBorder="1" applyAlignment="1">
      <alignment horizontal="center"/>
    </xf>
    <xf numFmtId="167" fontId="3" fillId="8" borderId="10" xfId="0" applyNumberFormat="1" applyFont="1" applyFill="1" applyBorder="1"/>
    <xf numFmtId="0" fontId="3" fillId="8" borderId="0" xfId="0" applyFont="1" applyFill="1" applyBorder="1"/>
    <xf numFmtId="0" fontId="3" fillId="8" borderId="14" xfId="0" applyFont="1" applyFill="1" applyBorder="1"/>
    <xf numFmtId="0" fontId="3" fillId="8" borderId="4" xfId="0" applyFont="1" applyFill="1" applyBorder="1"/>
    <xf numFmtId="167" fontId="3" fillId="8" borderId="8" xfId="0" applyNumberFormat="1" applyFont="1" applyFill="1" applyBorder="1" applyAlignment="1">
      <alignment horizontal="center" wrapText="1"/>
    </xf>
    <xf numFmtId="1" fontId="3" fillId="8" borderId="8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top" wrapText="1"/>
    </xf>
    <xf numFmtId="0" fontId="27" fillId="4" borderId="5" xfId="0" applyFont="1" applyFill="1" applyBorder="1" applyAlignment="1">
      <alignment vertical="top" wrapText="1"/>
    </xf>
    <xf numFmtId="0" fontId="27" fillId="4" borderId="6" xfId="0" applyFont="1" applyFill="1" applyBorder="1" applyAlignment="1">
      <alignment vertical="top" wrapText="1"/>
    </xf>
    <xf numFmtId="0" fontId="1" fillId="0" borderId="4" xfId="0" applyFont="1" applyFill="1" applyBorder="1" applyAlignment="1"/>
    <xf numFmtId="167" fontId="3" fillId="0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center" vertical="center" wrapText="1"/>
    </xf>
    <xf numFmtId="167" fontId="27" fillId="8" borderId="1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4" xfId="3" applyFont="1" applyFill="1" applyBorder="1" applyAlignment="1">
      <alignment vertical="center" wrapText="1"/>
    </xf>
    <xf numFmtId="0" fontId="1" fillId="0" borderId="5" xfId="3" applyFont="1" applyFill="1" applyBorder="1" applyAlignment="1">
      <alignment vertical="center" wrapText="1"/>
    </xf>
    <xf numFmtId="0" fontId="1" fillId="0" borderId="6" xfId="3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vertical="center" wrapText="1"/>
    </xf>
    <xf numFmtId="167" fontId="1" fillId="0" borderId="5" xfId="0" applyNumberFormat="1" applyFont="1" applyFill="1" applyBorder="1" applyAlignment="1">
      <alignment vertical="center" wrapText="1"/>
    </xf>
    <xf numFmtId="167" fontId="1" fillId="0" borderId="6" xfId="0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1" fillId="0" borderId="4" xfId="3" applyFont="1" applyFill="1" applyBorder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wrapText="1"/>
    </xf>
    <xf numFmtId="167" fontId="1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167" fontId="1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25" fillId="0" borderId="5" xfId="0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vertical="center" wrapText="1"/>
    </xf>
    <xf numFmtId="167" fontId="3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167" fontId="3" fillId="0" borderId="5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vertical="center" wrapText="1"/>
    </xf>
    <xf numFmtId="167" fontId="3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27" fillId="0" borderId="4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167" fontId="1" fillId="0" borderId="15" xfId="0" applyNumberFormat="1" applyFont="1" applyFill="1" applyBorder="1" applyAlignment="1">
      <alignment vertical="center" wrapText="1"/>
    </xf>
    <xf numFmtId="167" fontId="22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/>
    <xf numFmtId="1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1" fillId="3" borderId="4" xfId="3" applyFont="1" applyFill="1" applyBorder="1" applyAlignment="1">
      <alignment horizontal="left" vertical="center" wrapText="1"/>
    </xf>
    <xf numFmtId="0" fontId="1" fillId="3" borderId="5" xfId="3" applyFont="1" applyFill="1" applyBorder="1" applyAlignment="1">
      <alignment horizontal="left" vertical="center" wrapText="1"/>
    </xf>
    <xf numFmtId="0" fontId="1" fillId="3" borderId="6" xfId="3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6" fillId="8" borderId="4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6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4" xfId="3" applyFont="1" applyFill="1" applyBorder="1" applyAlignment="1">
      <alignment vertical="center" wrapText="1"/>
    </xf>
    <xf numFmtId="0" fontId="1" fillId="0" borderId="5" xfId="3" applyFont="1" applyFill="1" applyBorder="1" applyAlignment="1">
      <alignment vertical="center" wrapText="1"/>
    </xf>
    <xf numFmtId="0" fontId="1" fillId="0" borderId="6" xfId="3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3" applyFont="1" applyFill="1" applyBorder="1" applyAlignment="1">
      <alignment horizontal="left" vertical="center" wrapText="1"/>
    </xf>
    <xf numFmtId="0" fontId="1" fillId="0" borderId="5" xfId="3" applyFont="1" applyFill="1" applyBorder="1" applyAlignment="1">
      <alignment horizontal="left" vertical="center" wrapText="1"/>
    </xf>
    <xf numFmtId="0" fontId="1" fillId="0" borderId="6" xfId="3" applyFont="1" applyFill="1" applyBorder="1" applyAlignment="1">
      <alignment horizontal="left" vertical="center" wrapText="1"/>
    </xf>
    <xf numFmtId="167" fontId="1" fillId="0" borderId="4" xfId="0" applyNumberFormat="1" applyFont="1" applyFill="1" applyBorder="1" applyAlignment="1">
      <alignment vertical="center" wrapText="1"/>
    </xf>
    <xf numFmtId="167" fontId="1" fillId="0" borderId="5" xfId="0" applyNumberFormat="1" applyFont="1" applyFill="1" applyBorder="1" applyAlignment="1">
      <alignment vertical="center" wrapText="1"/>
    </xf>
    <xf numFmtId="167" fontId="1" fillId="0" borderId="6" xfId="0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vertical="top" wrapText="1"/>
    </xf>
    <xf numFmtId="0" fontId="1" fillId="0" borderId="5" xfId="3" applyFont="1" applyFill="1" applyBorder="1" applyAlignment="1">
      <alignment vertical="top" wrapText="1"/>
    </xf>
    <xf numFmtId="0" fontId="1" fillId="0" borderId="6" xfId="3" applyFont="1" applyFill="1" applyBorder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wrapText="1"/>
    </xf>
    <xf numFmtId="167" fontId="3" fillId="0" borderId="6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wrapText="1"/>
    </xf>
    <xf numFmtId="167" fontId="1" fillId="0" borderId="5" xfId="0" applyNumberFormat="1" applyFont="1" applyFill="1" applyBorder="1" applyAlignment="1">
      <alignment wrapText="1"/>
    </xf>
    <xf numFmtId="167" fontId="1" fillId="0" borderId="4" xfId="0" applyNumberFormat="1" applyFont="1" applyFill="1" applyBorder="1" applyAlignment="1">
      <alignment horizontal="center" vertical="top" wrapText="1"/>
    </xf>
    <xf numFmtId="167" fontId="1" fillId="0" borderId="5" xfId="0" applyNumberFormat="1" applyFont="1" applyFill="1" applyBorder="1" applyAlignment="1">
      <alignment horizontal="center" vertical="top" wrapText="1"/>
    </xf>
    <xf numFmtId="167" fontId="1" fillId="0" borderId="4" xfId="0" applyNumberFormat="1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/>
    </xf>
    <xf numFmtId="167" fontId="1" fillId="0" borderId="5" xfId="0" applyNumberFormat="1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67" fontId="3" fillId="0" borderId="4" xfId="0" applyNumberFormat="1" applyFont="1" applyFill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horizontal="center" vertical="top" wrapText="1"/>
    </xf>
    <xf numFmtId="167" fontId="3" fillId="0" borderId="6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vertical="center" wrapText="1"/>
    </xf>
    <xf numFmtId="167" fontId="1" fillId="0" borderId="5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67" fontId="1" fillId="0" borderId="4" xfId="0" applyNumberFormat="1" applyFont="1" applyFill="1" applyBorder="1" applyAlignment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167" fontId="1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top"/>
    </xf>
    <xf numFmtId="167" fontId="3" fillId="0" borderId="5" xfId="0" applyNumberFormat="1" applyFont="1" applyFill="1" applyBorder="1" applyAlignment="1">
      <alignment horizontal="center" vertical="top"/>
    </xf>
    <xf numFmtId="167" fontId="3" fillId="0" borderId="6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9" fontId="3" fillId="0" borderId="4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 wrapText="1"/>
    </xf>
    <xf numFmtId="0" fontId="2" fillId="0" borderId="6" xfId="3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67" fontId="3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167" fontId="3" fillId="0" borderId="4" xfId="0" applyNumberFormat="1" applyFont="1" applyFill="1" applyBorder="1" applyAlignment="1">
      <alignment wrapText="1"/>
    </xf>
    <xf numFmtId="167" fontId="3" fillId="0" borderId="5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167" fontId="3" fillId="8" borderId="4" xfId="0" applyNumberFormat="1" applyFont="1" applyFill="1" applyBorder="1" applyAlignment="1">
      <alignment horizontal="center" vertical="center"/>
    </xf>
    <xf numFmtId="167" fontId="3" fillId="8" borderId="6" xfId="0" applyNumberFormat="1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center"/>
    </xf>
    <xf numFmtId="1" fontId="3" fillId="8" borderId="6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center" vertical="top" wrapText="1"/>
    </xf>
    <xf numFmtId="49" fontId="6" fillId="7" borderId="6" xfId="0" applyNumberFormat="1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top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center" wrapText="1"/>
    </xf>
    <xf numFmtId="167" fontId="3" fillId="7" borderId="4" xfId="0" applyNumberFormat="1" applyFont="1" applyFill="1" applyBorder="1" applyAlignment="1">
      <alignment horizontal="center"/>
    </xf>
    <xf numFmtId="167" fontId="3" fillId="7" borderId="6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vertical="top" wrapText="1"/>
    </xf>
    <xf numFmtId="0" fontId="0" fillId="8" borderId="6" xfId="0" applyFont="1" applyFill="1" applyBorder="1" applyAlignment="1">
      <alignment vertical="top" wrapText="1"/>
    </xf>
    <xf numFmtId="0" fontId="0" fillId="8" borderId="5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167" fontId="3" fillId="7" borderId="5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167" fontId="3" fillId="8" borderId="5" xfId="0" applyNumberFormat="1" applyFont="1" applyFill="1" applyBorder="1" applyAlignment="1">
      <alignment horizontal="center" vertical="center"/>
    </xf>
    <xf numFmtId="1" fontId="3" fillId="8" borderId="4" xfId="0" applyNumberFormat="1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7" borderId="5" xfId="0" applyFont="1" applyFill="1" applyBorder="1" applyAlignment="1">
      <alignment vertical="top" wrapText="1"/>
    </xf>
    <xf numFmtId="167" fontId="3" fillId="7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left" vertical="top" wrapText="1"/>
    </xf>
    <xf numFmtId="0" fontId="27" fillId="11" borderId="5" xfId="0" applyFont="1" applyFill="1" applyBorder="1" applyAlignment="1">
      <alignment horizontal="left" vertical="top" wrapText="1"/>
    </xf>
    <xf numFmtId="0" fontId="27" fillId="11" borderId="6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167" fontId="3" fillId="5" borderId="4" xfId="0" applyNumberFormat="1" applyFont="1" applyFill="1" applyBorder="1" applyAlignment="1">
      <alignment horizontal="center"/>
    </xf>
    <xf numFmtId="167" fontId="3" fillId="5" borderId="6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vertical="top" wrapText="1"/>
    </xf>
    <xf numFmtId="0" fontId="27" fillId="4" borderId="6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4" xfId="3" applyFont="1" applyFill="1" applyBorder="1" applyAlignment="1">
      <alignment horizontal="left" wrapText="1"/>
    </xf>
    <xf numFmtId="0" fontId="1" fillId="0" borderId="5" xfId="3" applyFont="1" applyFill="1" applyBorder="1" applyAlignment="1">
      <alignment horizontal="left" wrapText="1"/>
    </xf>
    <xf numFmtId="0" fontId="1" fillId="0" borderId="6" xfId="3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_прогноз новый" xfId="3"/>
    <cellStyle name="Финансовый" xfId="4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M708"/>
  <sheetViews>
    <sheetView view="pageBreakPreview" zoomScaleNormal="130" zoomScaleSheetLayoutView="100" workbookViewId="0">
      <pane ySplit="9" topLeftCell="A285" activePane="bottomLeft" state="frozen"/>
      <selection pane="bottomLeft" activeCell="C272" sqref="A272:IV311"/>
    </sheetView>
  </sheetViews>
  <sheetFormatPr defaultRowHeight="12.75" x14ac:dyDescent="0.2"/>
  <cols>
    <col min="1" max="1" width="6" style="40" customWidth="1"/>
    <col min="2" max="2" width="58.28515625" style="41" customWidth="1"/>
    <col min="3" max="3" width="13.5703125" style="43" customWidth="1"/>
    <col min="4" max="4" width="14.5703125" style="43" customWidth="1"/>
    <col min="5" max="5" width="13.42578125" style="43" customWidth="1"/>
    <col min="6" max="6" width="11.85546875" style="43" customWidth="1"/>
    <col min="7" max="7" width="11.28515625" style="43" customWidth="1"/>
    <col min="8" max="8" width="15.28515625" style="42" customWidth="1"/>
    <col min="9" max="9" width="13.140625" style="42" customWidth="1"/>
    <col min="10" max="10" width="9.85546875" style="4" hidden="1" customWidth="1"/>
    <col min="11" max="11" width="6.140625" style="3" customWidth="1"/>
    <col min="12" max="16384" width="9.140625" style="3"/>
  </cols>
  <sheetData>
    <row r="1" spans="1:10" x14ac:dyDescent="0.2">
      <c r="F1" s="582" t="s">
        <v>368</v>
      </c>
      <c r="G1" s="582"/>
      <c r="H1" s="582"/>
      <c r="I1" s="582"/>
    </row>
    <row r="2" spans="1:10" ht="9" customHeight="1" x14ac:dyDescent="0.2"/>
    <row r="3" spans="1:10" ht="32.25" customHeight="1" x14ac:dyDescent="0.2">
      <c r="A3" s="1"/>
      <c r="B3" s="624"/>
      <c r="C3" s="624"/>
      <c r="D3" s="624"/>
      <c r="E3" s="624"/>
      <c r="F3" s="625" t="s">
        <v>367</v>
      </c>
      <c r="G3" s="625"/>
      <c r="H3" s="625"/>
      <c r="I3" s="625"/>
      <c r="J3" s="2"/>
    </row>
    <row r="4" spans="1:10" ht="26.25" customHeight="1" x14ac:dyDescent="0.2">
      <c r="A4" s="627" t="s">
        <v>0</v>
      </c>
      <c r="B4" s="627"/>
      <c r="C4" s="627"/>
      <c r="D4" s="627"/>
      <c r="E4" s="627"/>
      <c r="F4" s="627"/>
      <c r="G4" s="627"/>
      <c r="H4" s="627"/>
      <c r="I4" s="627"/>
    </row>
    <row r="5" spans="1:10" x14ac:dyDescent="0.2">
      <c r="A5" s="1"/>
      <c r="B5" s="5"/>
      <c r="C5" s="6"/>
      <c r="D5" s="6"/>
      <c r="E5" s="6"/>
      <c r="F5" s="6"/>
      <c r="G5" s="628" t="s">
        <v>188</v>
      </c>
      <c r="H5" s="628"/>
      <c r="I5" s="628"/>
    </row>
    <row r="6" spans="1:10" x14ac:dyDescent="0.2">
      <c r="A6" s="596" t="s">
        <v>189</v>
      </c>
      <c r="B6" s="621" t="s">
        <v>190</v>
      </c>
      <c r="C6" s="611" t="s">
        <v>191</v>
      </c>
      <c r="D6" s="611" t="s">
        <v>192</v>
      </c>
      <c r="E6" s="611" t="s">
        <v>193</v>
      </c>
      <c r="F6" s="611"/>
      <c r="G6" s="611"/>
      <c r="H6" s="611"/>
      <c r="I6" s="611"/>
    </row>
    <row r="7" spans="1:10" x14ac:dyDescent="0.2">
      <c r="A7" s="596"/>
      <c r="B7" s="622"/>
      <c r="C7" s="611"/>
      <c r="D7" s="611"/>
      <c r="E7" s="611"/>
      <c r="F7" s="611"/>
      <c r="G7" s="611"/>
      <c r="H7" s="611"/>
      <c r="I7" s="611"/>
    </row>
    <row r="8" spans="1:10" x14ac:dyDescent="0.2">
      <c r="A8" s="596"/>
      <c r="B8" s="622"/>
      <c r="C8" s="611"/>
      <c r="D8" s="611"/>
      <c r="E8" s="611" t="s">
        <v>194</v>
      </c>
      <c r="F8" s="611" t="s">
        <v>195</v>
      </c>
      <c r="G8" s="611"/>
      <c r="H8" s="611"/>
      <c r="I8" s="611"/>
    </row>
    <row r="9" spans="1:10" ht="25.5" x14ac:dyDescent="0.2">
      <c r="A9" s="596"/>
      <c r="B9" s="623"/>
      <c r="C9" s="611"/>
      <c r="D9" s="611"/>
      <c r="E9" s="611"/>
      <c r="F9" s="7" t="s">
        <v>1</v>
      </c>
      <c r="G9" s="7" t="s">
        <v>2</v>
      </c>
      <c r="H9" s="7" t="s">
        <v>196</v>
      </c>
      <c r="I9" s="8" t="s">
        <v>3</v>
      </c>
    </row>
    <row r="10" spans="1:10" s="12" customFormat="1" x14ac:dyDescent="0.2">
      <c r="A10" s="596"/>
      <c r="B10" s="626" t="s">
        <v>197</v>
      </c>
      <c r="C10" s="9" t="s">
        <v>198</v>
      </c>
      <c r="D10" s="10">
        <f t="shared" ref="D10:I10" si="0">D11+D12+D13</f>
        <v>41057.399340900003</v>
      </c>
      <c r="E10" s="10">
        <f t="shared" si="0"/>
        <v>1393.5507830000001</v>
      </c>
      <c r="F10" s="10">
        <f t="shared" si="0"/>
        <v>29.559419999999996</v>
      </c>
      <c r="G10" s="10">
        <f t="shared" si="0"/>
        <v>3350.3406000000004</v>
      </c>
      <c r="H10" s="10">
        <f t="shared" si="0"/>
        <v>36275.0274278</v>
      </c>
      <c r="I10" s="10">
        <f t="shared" si="0"/>
        <v>8.9211100999999999</v>
      </c>
      <c r="J10" s="11">
        <f>SUM(E10:I10)</f>
        <v>41057.399340899996</v>
      </c>
    </row>
    <row r="11" spans="1:10" s="12" customFormat="1" ht="13.5" customHeight="1" x14ac:dyDescent="0.2">
      <c r="A11" s="596"/>
      <c r="B11" s="626"/>
      <c r="C11" s="9">
        <v>2015</v>
      </c>
      <c r="D11" s="10">
        <f t="shared" ref="D11:I13" si="1">D16+D92+D232+D253+D273+D313+D337+D385+D413+D464+D495+D511+D555</f>
        <v>7228.396378899999</v>
      </c>
      <c r="E11" s="10">
        <f t="shared" si="1"/>
        <v>459.06574100000006</v>
      </c>
      <c r="F11" s="10">
        <f t="shared" si="1"/>
        <v>12.21828</v>
      </c>
      <c r="G11" s="10">
        <f t="shared" si="1"/>
        <v>1405.9868200000001</v>
      </c>
      <c r="H11" s="10">
        <f t="shared" si="1"/>
        <v>5342.2044277999994</v>
      </c>
      <c r="I11" s="10">
        <f t="shared" si="1"/>
        <v>8.9211100999999999</v>
      </c>
      <c r="J11" s="11">
        <f>SUM(E11:I11)</f>
        <v>7228.396378899999</v>
      </c>
    </row>
    <row r="12" spans="1:10" s="12" customFormat="1" ht="13.5" customHeight="1" x14ac:dyDescent="0.2">
      <c r="A12" s="596"/>
      <c r="B12" s="626"/>
      <c r="C12" s="9">
        <v>2016</v>
      </c>
      <c r="D12" s="10">
        <f t="shared" si="1"/>
        <v>14805.336341</v>
      </c>
      <c r="E12" s="10">
        <f t="shared" si="1"/>
        <v>452.45332100000007</v>
      </c>
      <c r="F12" s="10">
        <f t="shared" si="1"/>
        <v>6.3492599999999983</v>
      </c>
      <c r="G12" s="10">
        <f t="shared" si="1"/>
        <v>963.61576000000002</v>
      </c>
      <c r="H12" s="10">
        <f t="shared" si="1"/>
        <v>13382.918</v>
      </c>
      <c r="I12" s="10">
        <f t="shared" si="1"/>
        <v>0</v>
      </c>
      <c r="J12" s="11">
        <f>SUM(E12:I12)</f>
        <v>14805.336341</v>
      </c>
    </row>
    <row r="13" spans="1:10" s="12" customFormat="1" ht="13.5" customHeight="1" x14ac:dyDescent="0.2">
      <c r="A13" s="596"/>
      <c r="B13" s="626"/>
      <c r="C13" s="9">
        <v>2017</v>
      </c>
      <c r="D13" s="10">
        <f t="shared" si="1"/>
        <v>19023.666621000004</v>
      </c>
      <c r="E13" s="10">
        <f t="shared" si="1"/>
        <v>482.03172099999995</v>
      </c>
      <c r="F13" s="10">
        <f t="shared" si="1"/>
        <v>10.991879999999998</v>
      </c>
      <c r="G13" s="10">
        <f t="shared" si="1"/>
        <v>980.73802000000001</v>
      </c>
      <c r="H13" s="10">
        <f t="shared" si="1"/>
        <v>17549.904999999999</v>
      </c>
      <c r="I13" s="10">
        <f t="shared" si="1"/>
        <v>0</v>
      </c>
      <c r="J13" s="11">
        <f>SUM(E13:I13)</f>
        <v>19023.666621</v>
      </c>
    </row>
    <row r="14" spans="1:10" s="12" customFormat="1" ht="13.5" hidden="1" customHeight="1" x14ac:dyDescent="0.2">
      <c r="A14" s="13"/>
      <c r="B14" s="14"/>
      <c r="C14" s="9"/>
      <c r="D14" s="10"/>
      <c r="E14" s="10"/>
      <c r="F14" s="10"/>
      <c r="G14" s="10"/>
      <c r="H14" s="10"/>
      <c r="I14" s="10"/>
      <c r="J14" s="11"/>
    </row>
    <row r="15" spans="1:10" s="12" customFormat="1" x14ac:dyDescent="0.2">
      <c r="A15" s="596" t="s">
        <v>4</v>
      </c>
      <c r="B15" s="619" t="s">
        <v>200</v>
      </c>
      <c r="C15" s="9" t="s">
        <v>198</v>
      </c>
      <c r="D15" s="10">
        <f t="shared" ref="D15:I15" si="2">D16+D17+D18</f>
        <v>2933.8243000000002</v>
      </c>
      <c r="E15" s="10">
        <f t="shared" si="2"/>
        <v>624.46949999999993</v>
      </c>
      <c r="F15" s="10">
        <f t="shared" si="2"/>
        <v>0</v>
      </c>
      <c r="G15" s="10">
        <f t="shared" si="2"/>
        <v>2309.3548000000001</v>
      </c>
      <c r="H15" s="10">
        <f t="shared" si="2"/>
        <v>0</v>
      </c>
      <c r="I15" s="10">
        <f t="shared" si="2"/>
        <v>0</v>
      </c>
      <c r="J15" s="11">
        <f>SUM(E15:I15)</f>
        <v>2933.8243000000002</v>
      </c>
    </row>
    <row r="16" spans="1:10" s="12" customFormat="1" ht="13.5" customHeight="1" x14ac:dyDescent="0.2">
      <c r="A16" s="596"/>
      <c r="B16" s="619"/>
      <c r="C16" s="9">
        <v>2015</v>
      </c>
      <c r="D16" s="10">
        <f t="shared" ref="D16:I18" si="3">D20</f>
        <v>950.98670000000016</v>
      </c>
      <c r="E16" s="10">
        <f t="shared" si="3"/>
        <v>217.8168</v>
      </c>
      <c r="F16" s="10">
        <f t="shared" si="3"/>
        <v>0</v>
      </c>
      <c r="G16" s="10">
        <f t="shared" si="3"/>
        <v>733.1699000000001</v>
      </c>
      <c r="H16" s="10">
        <f t="shared" si="3"/>
        <v>0</v>
      </c>
      <c r="I16" s="10">
        <f t="shared" si="3"/>
        <v>0</v>
      </c>
      <c r="J16" s="11">
        <f t="shared" ref="J16:J79" si="4">SUM(E16:I16)</f>
        <v>950.98670000000016</v>
      </c>
    </row>
    <row r="17" spans="1:10" s="12" customFormat="1" ht="13.5" customHeight="1" x14ac:dyDescent="0.2">
      <c r="A17" s="596"/>
      <c r="B17" s="619"/>
      <c r="C17" s="9">
        <v>2016</v>
      </c>
      <c r="D17" s="10">
        <f t="shared" si="3"/>
        <v>986.30200000000002</v>
      </c>
      <c r="E17" s="10">
        <f t="shared" si="3"/>
        <v>197.6395</v>
      </c>
      <c r="F17" s="10">
        <f t="shared" si="3"/>
        <v>0</v>
      </c>
      <c r="G17" s="10">
        <f t="shared" si="3"/>
        <v>788.66250000000002</v>
      </c>
      <c r="H17" s="10">
        <f t="shared" si="3"/>
        <v>0</v>
      </c>
      <c r="I17" s="10">
        <f t="shared" si="3"/>
        <v>0</v>
      </c>
      <c r="J17" s="11">
        <f t="shared" si="4"/>
        <v>986.30200000000002</v>
      </c>
    </row>
    <row r="18" spans="1:10" s="12" customFormat="1" ht="13.5" customHeight="1" x14ac:dyDescent="0.2">
      <c r="A18" s="596"/>
      <c r="B18" s="619"/>
      <c r="C18" s="9">
        <v>2017</v>
      </c>
      <c r="D18" s="10">
        <f t="shared" si="3"/>
        <v>996.53559999999993</v>
      </c>
      <c r="E18" s="10">
        <f t="shared" si="3"/>
        <v>209.01319999999998</v>
      </c>
      <c r="F18" s="10">
        <f t="shared" si="3"/>
        <v>0</v>
      </c>
      <c r="G18" s="10">
        <f t="shared" si="3"/>
        <v>787.52239999999995</v>
      </c>
      <c r="H18" s="10">
        <f t="shared" si="3"/>
        <v>0</v>
      </c>
      <c r="I18" s="10">
        <f t="shared" si="3"/>
        <v>0</v>
      </c>
      <c r="J18" s="11">
        <f t="shared" si="4"/>
        <v>996.53559999999993</v>
      </c>
    </row>
    <row r="19" spans="1:10" s="12" customFormat="1" x14ac:dyDescent="0.2">
      <c r="A19" s="596" t="s">
        <v>5</v>
      </c>
      <c r="B19" s="586" t="s">
        <v>370</v>
      </c>
      <c r="C19" s="9" t="s">
        <v>198</v>
      </c>
      <c r="D19" s="10">
        <f t="shared" ref="D19:I19" si="5">D20+D21+D22</f>
        <v>2933.8243000000002</v>
      </c>
      <c r="E19" s="10">
        <f t="shared" si="5"/>
        <v>624.46949999999993</v>
      </c>
      <c r="F19" s="10">
        <f t="shared" si="5"/>
        <v>0</v>
      </c>
      <c r="G19" s="10">
        <f t="shared" si="5"/>
        <v>2309.3548000000001</v>
      </c>
      <c r="H19" s="10">
        <f t="shared" si="5"/>
        <v>0</v>
      </c>
      <c r="I19" s="10">
        <f t="shared" si="5"/>
        <v>0</v>
      </c>
      <c r="J19" s="11">
        <f t="shared" si="4"/>
        <v>2933.8243000000002</v>
      </c>
    </row>
    <row r="20" spans="1:10" s="12" customFormat="1" x14ac:dyDescent="0.2">
      <c r="A20" s="596"/>
      <c r="B20" s="586"/>
      <c r="C20" s="7">
        <v>2015</v>
      </c>
      <c r="D20" s="10">
        <f>E20+F20+G20+H20+I20</f>
        <v>950.98670000000016</v>
      </c>
      <c r="E20" s="10">
        <f>E24+E40+E64+E76</f>
        <v>217.8168</v>
      </c>
      <c r="F20" s="10">
        <f>F24+F40+F64+F76</f>
        <v>0</v>
      </c>
      <c r="G20" s="10">
        <f>G24+G40+G64+G76</f>
        <v>733.1699000000001</v>
      </c>
      <c r="H20" s="10">
        <f>H24+H40+H64+H76</f>
        <v>0</v>
      </c>
      <c r="I20" s="10">
        <f>I24+I40+I64+I76</f>
        <v>0</v>
      </c>
      <c r="J20" s="11">
        <f t="shared" si="4"/>
        <v>950.98670000000016</v>
      </c>
    </row>
    <row r="21" spans="1:10" s="12" customFormat="1" x14ac:dyDescent="0.2">
      <c r="A21" s="596"/>
      <c r="B21" s="586"/>
      <c r="C21" s="7">
        <v>2016</v>
      </c>
      <c r="D21" s="10">
        <f>E21+F21+G21+H21+I21</f>
        <v>986.30200000000002</v>
      </c>
      <c r="E21" s="10">
        <f t="shared" ref="E21:I22" si="6">E25+E41+E65+E77</f>
        <v>197.6395</v>
      </c>
      <c r="F21" s="10">
        <f t="shared" si="6"/>
        <v>0</v>
      </c>
      <c r="G21" s="10">
        <f t="shared" si="6"/>
        <v>788.66250000000002</v>
      </c>
      <c r="H21" s="10">
        <f t="shared" si="6"/>
        <v>0</v>
      </c>
      <c r="I21" s="10">
        <f t="shared" si="6"/>
        <v>0</v>
      </c>
      <c r="J21" s="11">
        <f t="shared" si="4"/>
        <v>986.30200000000002</v>
      </c>
    </row>
    <row r="22" spans="1:10" s="12" customFormat="1" x14ac:dyDescent="0.2">
      <c r="A22" s="596"/>
      <c r="B22" s="586"/>
      <c r="C22" s="7">
        <v>2017</v>
      </c>
      <c r="D22" s="10">
        <f>E22+F22+G22+H22+I22</f>
        <v>996.53559999999993</v>
      </c>
      <c r="E22" s="10">
        <f t="shared" si="6"/>
        <v>209.01319999999998</v>
      </c>
      <c r="F22" s="10">
        <f t="shared" si="6"/>
        <v>0</v>
      </c>
      <c r="G22" s="10">
        <f t="shared" si="6"/>
        <v>787.52239999999995</v>
      </c>
      <c r="H22" s="10">
        <f t="shared" si="6"/>
        <v>0</v>
      </c>
      <c r="I22" s="10">
        <f t="shared" si="6"/>
        <v>0</v>
      </c>
      <c r="J22" s="11">
        <f t="shared" si="4"/>
        <v>996.53559999999993</v>
      </c>
    </row>
    <row r="23" spans="1:10" s="12" customFormat="1" x14ac:dyDescent="0.2">
      <c r="A23" s="596" t="s">
        <v>6</v>
      </c>
      <c r="B23" s="586" t="s">
        <v>371</v>
      </c>
      <c r="C23" s="9" t="s">
        <v>198</v>
      </c>
      <c r="D23" s="15">
        <f t="shared" ref="D23:I23" si="7">D24+D25+D26</f>
        <v>788.33379999999988</v>
      </c>
      <c r="E23" s="15">
        <f t="shared" si="7"/>
        <v>147.4426</v>
      </c>
      <c r="F23" s="15">
        <f t="shared" si="7"/>
        <v>0</v>
      </c>
      <c r="G23" s="15">
        <f t="shared" si="7"/>
        <v>640.89120000000003</v>
      </c>
      <c r="H23" s="15">
        <f t="shared" si="7"/>
        <v>0</v>
      </c>
      <c r="I23" s="15">
        <f t="shared" si="7"/>
        <v>0</v>
      </c>
      <c r="J23" s="11">
        <f t="shared" si="4"/>
        <v>788.3338</v>
      </c>
    </row>
    <row r="24" spans="1:10" s="12" customFormat="1" ht="12.75" customHeight="1" x14ac:dyDescent="0.2">
      <c r="A24" s="596"/>
      <c r="B24" s="586"/>
      <c r="C24" s="7">
        <v>2015</v>
      </c>
      <c r="D24" s="15">
        <f>E24+F24+G24+H24+I24</f>
        <v>255.62870000000001</v>
      </c>
      <c r="E24" s="15">
        <f>E28+E32+E36</f>
        <v>53.942799999999998</v>
      </c>
      <c r="F24" s="15">
        <f>F28+F32+F36</f>
        <v>0</v>
      </c>
      <c r="G24" s="15">
        <f>G28+G32+G36</f>
        <v>201.6859</v>
      </c>
      <c r="H24" s="15">
        <f>H28+H32+H36</f>
        <v>0</v>
      </c>
      <c r="I24" s="15">
        <f>I28+I32+I36</f>
        <v>0</v>
      </c>
      <c r="J24" s="11">
        <f t="shared" si="4"/>
        <v>255.62870000000001</v>
      </c>
    </row>
    <row r="25" spans="1:10" s="12" customFormat="1" x14ac:dyDescent="0.2">
      <c r="A25" s="596"/>
      <c r="B25" s="586"/>
      <c r="C25" s="7">
        <v>2016</v>
      </c>
      <c r="D25" s="15">
        <f>E25+F25+G25+H25+I25</f>
        <v>266.7115</v>
      </c>
      <c r="E25" s="15">
        <f>E29+E33+E37</f>
        <v>46.307000000000002</v>
      </c>
      <c r="F25" s="15">
        <v>0</v>
      </c>
      <c r="G25" s="15">
        <f>G29+G33+G37</f>
        <v>220.40450000000001</v>
      </c>
      <c r="H25" s="15">
        <v>0</v>
      </c>
      <c r="I25" s="15">
        <f>I26+I27+I28</f>
        <v>0</v>
      </c>
      <c r="J25" s="11">
        <f t="shared" si="4"/>
        <v>266.7115</v>
      </c>
    </row>
    <row r="26" spans="1:10" s="12" customFormat="1" x14ac:dyDescent="0.2">
      <c r="A26" s="596"/>
      <c r="B26" s="586"/>
      <c r="C26" s="7">
        <v>2017</v>
      </c>
      <c r="D26" s="15">
        <f>E26+F26+G26+H26+I26</f>
        <v>265.99359999999996</v>
      </c>
      <c r="E26" s="15">
        <f>E30+E34+E38</f>
        <v>47.192799999999998</v>
      </c>
      <c r="F26" s="15">
        <v>0</v>
      </c>
      <c r="G26" s="15">
        <f>G30+G34+G38</f>
        <v>218.80079999999998</v>
      </c>
      <c r="H26" s="15">
        <v>0</v>
      </c>
      <c r="I26" s="15">
        <f>I30+I34+I38</f>
        <v>0</v>
      </c>
      <c r="J26" s="11">
        <f t="shared" si="4"/>
        <v>265.99359999999996</v>
      </c>
    </row>
    <row r="27" spans="1:10" s="12" customFormat="1" x14ac:dyDescent="0.2">
      <c r="A27" s="596" t="s">
        <v>7</v>
      </c>
      <c r="B27" s="586" t="s">
        <v>8</v>
      </c>
      <c r="C27" s="9" t="s">
        <v>198</v>
      </c>
      <c r="D27" s="15">
        <f t="shared" ref="D27:I27" si="8">D28+D29+D30</f>
        <v>779.73810000000003</v>
      </c>
      <c r="E27" s="15">
        <f t="shared" si="8"/>
        <v>138.84690000000001</v>
      </c>
      <c r="F27" s="15">
        <f t="shared" si="8"/>
        <v>0</v>
      </c>
      <c r="G27" s="15">
        <f t="shared" si="8"/>
        <v>640.89120000000003</v>
      </c>
      <c r="H27" s="15">
        <f t="shared" si="8"/>
        <v>0</v>
      </c>
      <c r="I27" s="15">
        <f t="shared" si="8"/>
        <v>0</v>
      </c>
      <c r="J27" s="11">
        <f t="shared" si="4"/>
        <v>779.73810000000003</v>
      </c>
    </row>
    <row r="28" spans="1:10" s="12" customFormat="1" x14ac:dyDescent="0.2">
      <c r="A28" s="596"/>
      <c r="B28" s="586"/>
      <c r="C28" s="7">
        <v>2015</v>
      </c>
      <c r="D28" s="15">
        <f>E28+F28+G28+H28+I28</f>
        <v>253.15640000000002</v>
      </c>
      <c r="E28" s="15">
        <f>51470.5/1000</f>
        <v>51.470500000000001</v>
      </c>
      <c r="F28" s="15">
        <v>0</v>
      </c>
      <c r="G28" s="15">
        <f>201685.9/1000</f>
        <v>201.6859</v>
      </c>
      <c r="H28" s="15">
        <f>H29+H30+H35</f>
        <v>0</v>
      </c>
      <c r="I28" s="15">
        <f>I29+I30+I35</f>
        <v>0</v>
      </c>
      <c r="J28" s="11">
        <f t="shared" si="4"/>
        <v>253.15640000000002</v>
      </c>
    </row>
    <row r="29" spans="1:10" s="12" customFormat="1" x14ac:dyDescent="0.2">
      <c r="A29" s="596"/>
      <c r="B29" s="586"/>
      <c r="C29" s="7">
        <v>2016</v>
      </c>
      <c r="D29" s="15">
        <f>E29+F29+G29+H29+I29</f>
        <v>263.75380000000001</v>
      </c>
      <c r="E29" s="15">
        <f>43349.3/1000</f>
        <v>43.349299999999999</v>
      </c>
      <c r="F29" s="15">
        <v>0</v>
      </c>
      <c r="G29" s="15">
        <f>220404.5/1000</f>
        <v>220.40450000000001</v>
      </c>
      <c r="H29" s="15">
        <f>H30+H35+H36</f>
        <v>0</v>
      </c>
      <c r="I29" s="15">
        <f>I30+I35+I36</f>
        <v>0</v>
      </c>
      <c r="J29" s="11">
        <f t="shared" si="4"/>
        <v>263.75380000000001</v>
      </c>
    </row>
    <row r="30" spans="1:10" s="12" customFormat="1" x14ac:dyDescent="0.2">
      <c r="A30" s="596"/>
      <c r="B30" s="586"/>
      <c r="C30" s="7">
        <v>2017</v>
      </c>
      <c r="D30" s="15">
        <f>E30+F30+G30+H30+I30</f>
        <v>262.8279</v>
      </c>
      <c r="E30" s="15">
        <f>44027.1/1000</f>
        <v>44.027099999999997</v>
      </c>
      <c r="F30" s="15">
        <v>0</v>
      </c>
      <c r="G30" s="15">
        <f>218800.8/1000</f>
        <v>218.80079999999998</v>
      </c>
      <c r="H30" s="15">
        <f>H35+H36+H37</f>
        <v>0</v>
      </c>
      <c r="I30" s="15">
        <f>I35+I36+I37</f>
        <v>0</v>
      </c>
      <c r="J30" s="11">
        <f t="shared" si="4"/>
        <v>262.8279</v>
      </c>
    </row>
    <row r="31" spans="1:10" s="12" customFormat="1" x14ac:dyDescent="0.2">
      <c r="A31" s="596" t="s">
        <v>9</v>
      </c>
      <c r="B31" s="586" t="s">
        <v>10</v>
      </c>
      <c r="C31" s="9" t="s">
        <v>198</v>
      </c>
      <c r="D31" s="15">
        <f t="shared" ref="D31:I31" si="9">D32+D33+D34</f>
        <v>2.9781</v>
      </c>
      <c r="E31" s="15">
        <f t="shared" si="9"/>
        <v>2.9781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1">
        <f t="shared" si="4"/>
        <v>2.9781</v>
      </c>
    </row>
    <row r="32" spans="1:10" s="12" customFormat="1" x14ac:dyDescent="0.2">
      <c r="A32" s="596"/>
      <c r="B32" s="586"/>
      <c r="C32" s="7">
        <v>2015</v>
      </c>
      <c r="D32" s="15">
        <f>E32+F32+G32+H32+I32</f>
        <v>0.99270000000000003</v>
      </c>
      <c r="E32" s="15">
        <f>992.7/1000</f>
        <v>0.99270000000000003</v>
      </c>
      <c r="F32" s="15">
        <v>0</v>
      </c>
      <c r="G32" s="15">
        <v>0</v>
      </c>
      <c r="H32" s="15">
        <v>0</v>
      </c>
      <c r="I32" s="15">
        <f>I33+I34+I63</f>
        <v>0</v>
      </c>
      <c r="J32" s="11">
        <f t="shared" si="4"/>
        <v>0.99270000000000003</v>
      </c>
    </row>
    <row r="33" spans="1:10" s="12" customFormat="1" x14ac:dyDescent="0.2">
      <c r="A33" s="596"/>
      <c r="B33" s="586"/>
      <c r="C33" s="7">
        <v>2016</v>
      </c>
      <c r="D33" s="15">
        <f>E33+F33+G33+H33+I33</f>
        <v>0.99270000000000003</v>
      </c>
      <c r="E33" s="15">
        <f>992.7/1000</f>
        <v>0.99270000000000003</v>
      </c>
      <c r="F33" s="15">
        <v>0</v>
      </c>
      <c r="G33" s="15">
        <v>0</v>
      </c>
      <c r="H33" s="15">
        <v>0</v>
      </c>
      <c r="I33" s="15">
        <f>I34+I63+I64</f>
        <v>0</v>
      </c>
      <c r="J33" s="11">
        <f t="shared" si="4"/>
        <v>0.99270000000000003</v>
      </c>
    </row>
    <row r="34" spans="1:10" s="12" customFormat="1" x14ac:dyDescent="0.2">
      <c r="A34" s="596"/>
      <c r="B34" s="586"/>
      <c r="C34" s="7">
        <v>2017</v>
      </c>
      <c r="D34" s="15">
        <f>E34+F34+G34+H34+I34</f>
        <v>0.99270000000000003</v>
      </c>
      <c r="E34" s="15">
        <f>992.7/1000</f>
        <v>0.99270000000000003</v>
      </c>
      <c r="F34" s="15">
        <v>0</v>
      </c>
      <c r="G34" s="15">
        <v>0</v>
      </c>
      <c r="H34" s="15">
        <v>0</v>
      </c>
      <c r="I34" s="15">
        <f>I63+I64+I65</f>
        <v>0</v>
      </c>
      <c r="J34" s="11">
        <f t="shared" si="4"/>
        <v>0.99270000000000003</v>
      </c>
    </row>
    <row r="35" spans="1:10" ht="13.5" customHeight="1" x14ac:dyDescent="0.2">
      <c r="A35" s="596" t="s">
        <v>11</v>
      </c>
      <c r="B35" s="586" t="s">
        <v>12</v>
      </c>
      <c r="C35" s="9" t="s">
        <v>198</v>
      </c>
      <c r="D35" s="15">
        <f t="shared" ref="D35:I35" si="10">D36+D37+D38</f>
        <v>5.6175999999999995</v>
      </c>
      <c r="E35" s="15">
        <f t="shared" si="10"/>
        <v>5.6175999999999995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1">
        <f t="shared" si="4"/>
        <v>5.6175999999999995</v>
      </c>
    </row>
    <row r="36" spans="1:10" ht="14.25" customHeight="1" x14ac:dyDescent="0.2">
      <c r="A36" s="596" t="s">
        <v>13</v>
      </c>
      <c r="B36" s="586"/>
      <c r="C36" s="7">
        <v>2015</v>
      </c>
      <c r="D36" s="15">
        <f>E36+F36+G36+H36+I36</f>
        <v>1.4795999999999998</v>
      </c>
      <c r="E36" s="15">
        <f>1479.6/1000</f>
        <v>1.4795999999999998</v>
      </c>
      <c r="F36" s="15">
        <v>0</v>
      </c>
      <c r="G36" s="15">
        <v>0</v>
      </c>
      <c r="H36" s="15">
        <v>0</v>
      </c>
      <c r="I36" s="15">
        <f>I37+I38+I75</f>
        <v>0</v>
      </c>
      <c r="J36" s="11">
        <f t="shared" si="4"/>
        <v>1.4795999999999998</v>
      </c>
    </row>
    <row r="37" spans="1:10" ht="14.25" customHeight="1" x14ac:dyDescent="0.2">
      <c r="A37" s="596"/>
      <c r="B37" s="586"/>
      <c r="C37" s="7">
        <v>2016</v>
      </c>
      <c r="D37" s="15">
        <f>E37+F37+G37+H37+I37</f>
        <v>1.9650000000000001</v>
      </c>
      <c r="E37" s="15">
        <f>1965/1000</f>
        <v>1.9650000000000001</v>
      </c>
      <c r="F37" s="15">
        <v>0</v>
      </c>
      <c r="G37" s="15">
        <v>0</v>
      </c>
      <c r="H37" s="15">
        <v>0</v>
      </c>
      <c r="I37" s="15">
        <f>I38+I75+I76</f>
        <v>0</v>
      </c>
      <c r="J37" s="11">
        <f t="shared" si="4"/>
        <v>1.9650000000000001</v>
      </c>
    </row>
    <row r="38" spans="1:10" ht="14.25" customHeight="1" x14ac:dyDescent="0.2">
      <c r="A38" s="596"/>
      <c r="B38" s="586"/>
      <c r="C38" s="7">
        <v>2017</v>
      </c>
      <c r="D38" s="15">
        <f>E38+F38+G38+H38+I38</f>
        <v>2.173</v>
      </c>
      <c r="E38" s="15">
        <f>2173/1000</f>
        <v>2.173</v>
      </c>
      <c r="F38" s="15">
        <v>0</v>
      </c>
      <c r="G38" s="15">
        <v>0</v>
      </c>
      <c r="H38" s="15">
        <v>0</v>
      </c>
      <c r="I38" s="15">
        <f>I75+I76+I77</f>
        <v>0</v>
      </c>
      <c r="J38" s="11">
        <f t="shared" si="4"/>
        <v>2.173</v>
      </c>
    </row>
    <row r="39" spans="1:10" x14ac:dyDescent="0.2">
      <c r="A39" s="596" t="s">
        <v>14</v>
      </c>
      <c r="B39" s="586" t="s">
        <v>15</v>
      </c>
      <c r="C39" s="9" t="s">
        <v>198</v>
      </c>
      <c r="D39" s="16">
        <f t="shared" ref="D39:I39" si="11">D40+D41+D42</f>
        <v>1854.3202999999999</v>
      </c>
      <c r="E39" s="16">
        <f t="shared" si="11"/>
        <v>185.85669999999999</v>
      </c>
      <c r="F39" s="16">
        <f t="shared" si="11"/>
        <v>0</v>
      </c>
      <c r="G39" s="16">
        <f t="shared" si="11"/>
        <v>1668.4636</v>
      </c>
      <c r="H39" s="16">
        <f t="shared" si="11"/>
        <v>0</v>
      </c>
      <c r="I39" s="16">
        <f t="shared" si="11"/>
        <v>0</v>
      </c>
      <c r="J39" s="11">
        <f t="shared" si="4"/>
        <v>1854.3203000000001</v>
      </c>
    </row>
    <row r="40" spans="1:10" ht="12.75" customHeight="1" x14ac:dyDescent="0.2">
      <c r="A40" s="596"/>
      <c r="B40" s="586"/>
      <c r="C40" s="7">
        <v>2015</v>
      </c>
      <c r="D40" s="15">
        <f>E40+F40+G40+H40+I40</f>
        <v>603.11920000000009</v>
      </c>
      <c r="E40" s="15">
        <f>71635.2/1000</f>
        <v>71.635199999999998</v>
      </c>
      <c r="F40" s="15">
        <v>0</v>
      </c>
      <c r="G40" s="15">
        <f>531484/1000</f>
        <v>531.48400000000004</v>
      </c>
      <c r="H40" s="15">
        <v>0</v>
      </c>
      <c r="I40" s="15">
        <v>0</v>
      </c>
      <c r="J40" s="11">
        <f t="shared" si="4"/>
        <v>603.11920000000009</v>
      </c>
    </row>
    <row r="41" spans="1:10" x14ac:dyDescent="0.2">
      <c r="A41" s="596"/>
      <c r="B41" s="586"/>
      <c r="C41" s="7">
        <v>2016</v>
      </c>
      <c r="D41" s="15">
        <f>E41+F41+G41+H41+I41</f>
        <v>624.42349999999999</v>
      </c>
      <c r="E41" s="15">
        <f>56165.5/1000</f>
        <v>56.165500000000002</v>
      </c>
      <c r="F41" s="15">
        <v>0</v>
      </c>
      <c r="G41" s="15">
        <f>568258/1000</f>
        <v>568.25800000000004</v>
      </c>
      <c r="H41" s="15">
        <v>0</v>
      </c>
      <c r="I41" s="15">
        <v>0</v>
      </c>
      <c r="J41" s="11">
        <f t="shared" si="4"/>
        <v>624.42349999999999</v>
      </c>
    </row>
    <row r="42" spans="1:10" x14ac:dyDescent="0.2">
      <c r="A42" s="596"/>
      <c r="B42" s="586"/>
      <c r="C42" s="7">
        <v>2017</v>
      </c>
      <c r="D42" s="15">
        <f>E42+F42+G42+H42+I42</f>
        <v>626.77760000000001</v>
      </c>
      <c r="E42" s="15">
        <f>58056/1000</f>
        <v>58.055999999999997</v>
      </c>
      <c r="F42" s="15">
        <v>0</v>
      </c>
      <c r="G42" s="15">
        <f>568721.6/1000</f>
        <v>568.72159999999997</v>
      </c>
      <c r="H42" s="15">
        <v>0</v>
      </c>
      <c r="I42" s="15">
        <v>0</v>
      </c>
      <c r="J42" s="11">
        <f t="shared" si="4"/>
        <v>626.77760000000001</v>
      </c>
    </row>
    <row r="43" spans="1:10" x14ac:dyDescent="0.2">
      <c r="A43" s="596" t="s">
        <v>16</v>
      </c>
      <c r="B43" s="586" t="s">
        <v>17</v>
      </c>
      <c r="C43" s="9" t="s">
        <v>198</v>
      </c>
      <c r="D43" s="16">
        <f t="shared" ref="D43:I43" si="12">D44+D45+D46</f>
        <v>1782.6449</v>
      </c>
      <c r="E43" s="16">
        <f t="shared" si="12"/>
        <v>159.72729999999999</v>
      </c>
      <c r="F43" s="16">
        <f t="shared" si="12"/>
        <v>0</v>
      </c>
      <c r="G43" s="16">
        <f t="shared" si="12"/>
        <v>1622.9176000000002</v>
      </c>
      <c r="H43" s="17">
        <f t="shared" si="12"/>
        <v>0</v>
      </c>
      <c r="I43" s="17">
        <f t="shared" si="12"/>
        <v>0</v>
      </c>
      <c r="J43" s="11">
        <f t="shared" si="4"/>
        <v>1782.6449000000002</v>
      </c>
    </row>
    <row r="44" spans="1:10" x14ac:dyDescent="0.2">
      <c r="A44" s="596"/>
      <c r="B44" s="586"/>
      <c r="C44" s="7">
        <v>2015</v>
      </c>
      <c r="D44" s="15">
        <f>E44+F44+G44+H44+I44</f>
        <v>580.02100000000007</v>
      </c>
      <c r="E44" s="17">
        <f>63719/1000</f>
        <v>63.719000000000001</v>
      </c>
      <c r="F44" s="17">
        <v>0</v>
      </c>
      <c r="G44" s="17">
        <f>516302/1000</f>
        <v>516.30200000000002</v>
      </c>
      <c r="H44" s="17">
        <v>0</v>
      </c>
      <c r="I44" s="17">
        <v>0</v>
      </c>
      <c r="J44" s="11">
        <f t="shared" si="4"/>
        <v>580.02100000000007</v>
      </c>
    </row>
    <row r="45" spans="1:10" x14ac:dyDescent="0.2">
      <c r="A45" s="596"/>
      <c r="B45" s="586"/>
      <c r="C45" s="7">
        <v>2016</v>
      </c>
      <c r="D45" s="15">
        <f>E45+F45+G45+H45+I45</f>
        <v>601.36360000000002</v>
      </c>
      <c r="E45" s="17">
        <f>48287.6/1000</f>
        <v>48.287599999999998</v>
      </c>
      <c r="F45" s="17">
        <v>0</v>
      </c>
      <c r="G45" s="17">
        <f>553076/1000</f>
        <v>553.07600000000002</v>
      </c>
      <c r="H45" s="17">
        <v>0</v>
      </c>
      <c r="I45" s="17">
        <v>0</v>
      </c>
      <c r="J45" s="11">
        <f t="shared" si="4"/>
        <v>601.36360000000002</v>
      </c>
    </row>
    <row r="46" spans="1:10" x14ac:dyDescent="0.2">
      <c r="A46" s="596"/>
      <c r="B46" s="586"/>
      <c r="C46" s="7">
        <v>2017</v>
      </c>
      <c r="D46" s="15">
        <f>E46+F46+G46+H46+I46</f>
        <v>601.26029999999992</v>
      </c>
      <c r="E46" s="17">
        <f>47720.7/1000</f>
        <v>47.720699999999994</v>
      </c>
      <c r="F46" s="17">
        <v>0</v>
      </c>
      <c r="G46" s="17">
        <f>553539.6/1000</f>
        <v>553.53959999999995</v>
      </c>
      <c r="H46" s="17">
        <v>0</v>
      </c>
      <c r="I46" s="17">
        <v>0</v>
      </c>
      <c r="J46" s="11">
        <f t="shared" si="4"/>
        <v>601.26029999999992</v>
      </c>
    </row>
    <row r="47" spans="1:10" x14ac:dyDescent="0.2">
      <c r="A47" s="596" t="s">
        <v>18</v>
      </c>
      <c r="B47" s="586" t="s">
        <v>19</v>
      </c>
      <c r="C47" s="9" t="s">
        <v>198</v>
      </c>
      <c r="D47" s="16">
        <f t="shared" ref="D47:I47" si="13">D48+D49+D50</f>
        <v>0.45380000000000009</v>
      </c>
      <c r="E47" s="16">
        <f t="shared" si="13"/>
        <v>0.45380000000000009</v>
      </c>
      <c r="F47" s="16">
        <f t="shared" si="13"/>
        <v>0</v>
      </c>
      <c r="G47" s="16">
        <f t="shared" si="13"/>
        <v>0</v>
      </c>
      <c r="H47" s="17">
        <f t="shared" si="13"/>
        <v>0</v>
      </c>
      <c r="I47" s="17">
        <f t="shared" si="13"/>
        <v>0</v>
      </c>
      <c r="J47" s="11">
        <f t="shared" si="4"/>
        <v>0.45380000000000009</v>
      </c>
    </row>
    <row r="48" spans="1:10" x14ac:dyDescent="0.2">
      <c r="A48" s="596"/>
      <c r="B48" s="586"/>
      <c r="C48" s="7">
        <v>2015</v>
      </c>
      <c r="D48" s="15">
        <f>E48+F48+G48+H48+I48</f>
        <v>0.1416</v>
      </c>
      <c r="E48" s="17">
        <f>141.6/1000</f>
        <v>0.1416</v>
      </c>
      <c r="F48" s="17">
        <v>0</v>
      </c>
      <c r="G48" s="17">
        <v>0</v>
      </c>
      <c r="H48" s="17">
        <v>0</v>
      </c>
      <c r="I48" s="17">
        <v>0</v>
      </c>
      <c r="J48" s="11">
        <f t="shared" si="4"/>
        <v>0.1416</v>
      </c>
    </row>
    <row r="49" spans="1:10" x14ac:dyDescent="0.2">
      <c r="A49" s="596"/>
      <c r="B49" s="586"/>
      <c r="C49" s="7">
        <v>2016</v>
      </c>
      <c r="D49" s="15">
        <f>E49+F49+G49+H49+I49</f>
        <v>0.15030000000000002</v>
      </c>
      <c r="E49" s="17">
        <f>150.3/1000</f>
        <v>0.15030000000000002</v>
      </c>
      <c r="F49" s="17">
        <v>0</v>
      </c>
      <c r="G49" s="17">
        <v>0</v>
      </c>
      <c r="H49" s="17">
        <v>0</v>
      </c>
      <c r="I49" s="17">
        <v>0</v>
      </c>
      <c r="J49" s="11">
        <f t="shared" si="4"/>
        <v>0.15030000000000002</v>
      </c>
    </row>
    <row r="50" spans="1:10" x14ac:dyDescent="0.2">
      <c r="A50" s="596"/>
      <c r="B50" s="586"/>
      <c r="C50" s="7">
        <v>2017</v>
      </c>
      <c r="D50" s="15">
        <f>E50+F50+G50+H50+I50</f>
        <v>0.16190000000000002</v>
      </c>
      <c r="E50" s="17">
        <f>161.9/1000</f>
        <v>0.16190000000000002</v>
      </c>
      <c r="F50" s="17">
        <v>0</v>
      </c>
      <c r="G50" s="17">
        <v>0</v>
      </c>
      <c r="H50" s="17">
        <v>0</v>
      </c>
      <c r="I50" s="17">
        <v>0</v>
      </c>
      <c r="J50" s="11">
        <f t="shared" si="4"/>
        <v>0.16190000000000002</v>
      </c>
    </row>
    <row r="51" spans="1:10" x14ac:dyDescent="0.2">
      <c r="A51" s="596" t="s">
        <v>20</v>
      </c>
      <c r="B51" s="595" t="s">
        <v>21</v>
      </c>
      <c r="C51" s="9" t="s">
        <v>198</v>
      </c>
      <c r="D51" s="16">
        <f t="shared" ref="D51:I51" si="14">D52+D53+D54</f>
        <v>18.958500000000001</v>
      </c>
      <c r="E51" s="16">
        <f t="shared" si="14"/>
        <v>5.9739000000000004</v>
      </c>
      <c r="F51" s="16">
        <f t="shared" si="14"/>
        <v>0</v>
      </c>
      <c r="G51" s="16">
        <f t="shared" si="14"/>
        <v>12.9846</v>
      </c>
      <c r="H51" s="17">
        <f t="shared" si="14"/>
        <v>0</v>
      </c>
      <c r="I51" s="17">
        <f t="shared" si="14"/>
        <v>0</v>
      </c>
      <c r="J51" s="11">
        <f t="shared" si="4"/>
        <v>18.958500000000001</v>
      </c>
    </row>
    <row r="52" spans="1:10" x14ac:dyDescent="0.2">
      <c r="A52" s="596"/>
      <c r="B52" s="595"/>
      <c r="C52" s="7">
        <v>2015</v>
      </c>
      <c r="D52" s="15">
        <f>E52+F52+G52+H52+I52</f>
        <v>6.2408000000000001</v>
      </c>
      <c r="E52" s="15">
        <f>1912.6/1000</f>
        <v>1.9125999999999999</v>
      </c>
      <c r="F52" s="15">
        <v>0</v>
      </c>
      <c r="G52" s="15">
        <f>4328.2/1000</f>
        <v>4.3281999999999998</v>
      </c>
      <c r="H52" s="15">
        <v>0</v>
      </c>
      <c r="I52" s="15">
        <v>0</v>
      </c>
      <c r="J52" s="11">
        <f t="shared" si="4"/>
        <v>6.2408000000000001</v>
      </c>
    </row>
    <row r="53" spans="1:10" x14ac:dyDescent="0.2">
      <c r="A53" s="596"/>
      <c r="B53" s="595"/>
      <c r="C53" s="7">
        <v>2016</v>
      </c>
      <c r="D53" s="15">
        <f>E53+F53+G53+H53+I53</f>
        <v>6.3090999999999999</v>
      </c>
      <c r="E53" s="15">
        <f>1980.9/1000</f>
        <v>1.9809000000000001</v>
      </c>
      <c r="F53" s="15">
        <v>0</v>
      </c>
      <c r="G53" s="15">
        <f>4328.2/1000</f>
        <v>4.3281999999999998</v>
      </c>
      <c r="H53" s="15">
        <v>0</v>
      </c>
      <c r="I53" s="15">
        <v>0</v>
      </c>
      <c r="J53" s="11">
        <f t="shared" si="4"/>
        <v>6.3090999999999999</v>
      </c>
    </row>
    <row r="54" spans="1:10" x14ac:dyDescent="0.2">
      <c r="A54" s="596"/>
      <c r="B54" s="595"/>
      <c r="C54" s="7">
        <v>2017</v>
      </c>
      <c r="D54" s="15">
        <f>E54+F54+G54+H54+I54</f>
        <v>6.4085999999999999</v>
      </c>
      <c r="E54" s="15">
        <f>2080.4/1000</f>
        <v>2.0804</v>
      </c>
      <c r="F54" s="15">
        <v>0</v>
      </c>
      <c r="G54" s="15">
        <f>4328.2/1000</f>
        <v>4.3281999999999998</v>
      </c>
      <c r="H54" s="15">
        <v>0</v>
      </c>
      <c r="I54" s="15">
        <v>0</v>
      </c>
      <c r="J54" s="11">
        <f t="shared" si="4"/>
        <v>6.4085999999999999</v>
      </c>
    </row>
    <row r="55" spans="1:10" x14ac:dyDescent="0.2">
      <c r="A55" s="596" t="s">
        <v>22</v>
      </c>
      <c r="B55" s="586" t="s">
        <v>23</v>
      </c>
      <c r="C55" s="9" t="s">
        <v>198</v>
      </c>
      <c r="D55" s="16">
        <f t="shared" ref="D55:I55" si="15">D56+D57+D58</f>
        <v>32.561399999999999</v>
      </c>
      <c r="E55" s="16">
        <f t="shared" si="15"/>
        <v>0</v>
      </c>
      <c r="F55" s="16">
        <f t="shared" si="15"/>
        <v>0</v>
      </c>
      <c r="G55" s="16">
        <f t="shared" si="15"/>
        <v>32.561399999999999</v>
      </c>
      <c r="H55" s="17">
        <f t="shared" si="15"/>
        <v>0</v>
      </c>
      <c r="I55" s="17">
        <f t="shared" si="15"/>
        <v>0</v>
      </c>
      <c r="J55" s="11">
        <f t="shared" si="4"/>
        <v>32.561399999999999</v>
      </c>
    </row>
    <row r="56" spans="1:10" x14ac:dyDescent="0.2">
      <c r="A56" s="596"/>
      <c r="B56" s="586"/>
      <c r="C56" s="7">
        <v>2015</v>
      </c>
      <c r="D56" s="15">
        <f>E56+F56+G56+H56+I56</f>
        <v>10.8538</v>
      </c>
      <c r="E56" s="17">
        <v>0</v>
      </c>
      <c r="F56" s="17">
        <v>0</v>
      </c>
      <c r="G56" s="17">
        <f>10853.8/1000</f>
        <v>10.8538</v>
      </c>
      <c r="H56" s="17">
        <v>0</v>
      </c>
      <c r="I56" s="17">
        <v>0</v>
      </c>
      <c r="J56" s="11">
        <f t="shared" si="4"/>
        <v>10.8538</v>
      </c>
    </row>
    <row r="57" spans="1:10" x14ac:dyDescent="0.2">
      <c r="A57" s="596"/>
      <c r="B57" s="586"/>
      <c r="C57" s="7">
        <v>2016</v>
      </c>
      <c r="D57" s="15">
        <f>E57+F57+G57+H57+I57</f>
        <v>10.8538</v>
      </c>
      <c r="E57" s="17">
        <v>0</v>
      </c>
      <c r="F57" s="17">
        <v>0</v>
      </c>
      <c r="G57" s="17">
        <f>10853.8/1000</f>
        <v>10.8538</v>
      </c>
      <c r="H57" s="17">
        <v>0</v>
      </c>
      <c r="I57" s="17">
        <v>0</v>
      </c>
      <c r="J57" s="11">
        <f t="shared" si="4"/>
        <v>10.8538</v>
      </c>
    </row>
    <row r="58" spans="1:10" ht="13.5" customHeight="1" x14ac:dyDescent="0.2">
      <c r="A58" s="596"/>
      <c r="B58" s="586"/>
      <c r="C58" s="7">
        <v>2017</v>
      </c>
      <c r="D58" s="15">
        <f>E58+F58+G58+H58+I58</f>
        <v>10.8538</v>
      </c>
      <c r="E58" s="17">
        <v>0</v>
      </c>
      <c r="F58" s="17">
        <v>0</v>
      </c>
      <c r="G58" s="17">
        <f>10853.8/1000</f>
        <v>10.8538</v>
      </c>
      <c r="H58" s="17">
        <v>0</v>
      </c>
      <c r="I58" s="17">
        <v>0</v>
      </c>
      <c r="J58" s="11">
        <f t="shared" si="4"/>
        <v>10.8538</v>
      </c>
    </row>
    <row r="59" spans="1:10" x14ac:dyDescent="0.2">
      <c r="A59" s="596" t="s">
        <v>24</v>
      </c>
      <c r="B59" s="595" t="s">
        <v>25</v>
      </c>
      <c r="C59" s="9" t="s">
        <v>198</v>
      </c>
      <c r="D59" s="16">
        <f t="shared" ref="D59:I59" si="16">D60+D61+D62</f>
        <v>19.701699999999999</v>
      </c>
      <c r="E59" s="16">
        <f t="shared" si="16"/>
        <v>19.701699999999999</v>
      </c>
      <c r="F59" s="16">
        <f t="shared" si="16"/>
        <v>0</v>
      </c>
      <c r="G59" s="16">
        <f t="shared" si="16"/>
        <v>0</v>
      </c>
      <c r="H59" s="17">
        <f t="shared" si="16"/>
        <v>0</v>
      </c>
      <c r="I59" s="17">
        <f t="shared" si="16"/>
        <v>0</v>
      </c>
      <c r="J59" s="11">
        <f t="shared" si="4"/>
        <v>19.701699999999999</v>
      </c>
    </row>
    <row r="60" spans="1:10" x14ac:dyDescent="0.2">
      <c r="A60" s="596"/>
      <c r="B60" s="595"/>
      <c r="C60" s="7">
        <v>2015</v>
      </c>
      <c r="D60" s="15">
        <f>E60+F60+G60+H60+I60</f>
        <v>5.8620000000000001</v>
      </c>
      <c r="E60" s="18">
        <f>5862/1000</f>
        <v>5.8620000000000001</v>
      </c>
      <c r="F60" s="18">
        <v>0</v>
      </c>
      <c r="G60" s="18">
        <v>0</v>
      </c>
      <c r="H60" s="18">
        <v>0</v>
      </c>
      <c r="I60" s="18">
        <v>0</v>
      </c>
      <c r="J60" s="11">
        <f t="shared" si="4"/>
        <v>5.8620000000000001</v>
      </c>
    </row>
    <row r="61" spans="1:10" x14ac:dyDescent="0.2">
      <c r="A61" s="596"/>
      <c r="B61" s="595"/>
      <c r="C61" s="7">
        <v>2016</v>
      </c>
      <c r="D61" s="15">
        <f>E61+F61+G61+H61+I61</f>
        <v>5.7466999999999997</v>
      </c>
      <c r="E61" s="18">
        <f>5746.7/1000</f>
        <v>5.7466999999999997</v>
      </c>
      <c r="F61" s="18">
        <v>0</v>
      </c>
      <c r="G61" s="18">
        <v>0</v>
      </c>
      <c r="H61" s="18">
        <v>0</v>
      </c>
      <c r="I61" s="18">
        <v>0</v>
      </c>
      <c r="J61" s="11">
        <f t="shared" si="4"/>
        <v>5.7466999999999997</v>
      </c>
    </row>
    <row r="62" spans="1:10" x14ac:dyDescent="0.2">
      <c r="A62" s="596"/>
      <c r="B62" s="595"/>
      <c r="C62" s="7">
        <v>2017</v>
      </c>
      <c r="D62" s="15">
        <f>E62+F62+G62+H62+I62</f>
        <v>8.093</v>
      </c>
      <c r="E62" s="18">
        <f>8093/1000</f>
        <v>8.093</v>
      </c>
      <c r="F62" s="18">
        <v>0</v>
      </c>
      <c r="G62" s="18">
        <v>0</v>
      </c>
      <c r="H62" s="18">
        <v>0</v>
      </c>
      <c r="I62" s="18">
        <v>0</v>
      </c>
      <c r="J62" s="11">
        <f t="shared" si="4"/>
        <v>8.093</v>
      </c>
    </row>
    <row r="63" spans="1:10" x14ac:dyDescent="0.2">
      <c r="A63" s="596" t="s">
        <v>26</v>
      </c>
      <c r="B63" s="586" t="s">
        <v>372</v>
      </c>
      <c r="C63" s="9" t="s">
        <v>198</v>
      </c>
      <c r="D63" s="16">
        <f t="shared" ref="D63:I63" si="17">D64+D65+D66</f>
        <v>155.90200000000002</v>
      </c>
      <c r="E63" s="16">
        <f t="shared" si="17"/>
        <v>155.90200000000002</v>
      </c>
      <c r="F63" s="16">
        <f t="shared" si="17"/>
        <v>0</v>
      </c>
      <c r="G63" s="16">
        <f t="shared" si="17"/>
        <v>0</v>
      </c>
      <c r="H63" s="17">
        <f t="shared" si="17"/>
        <v>0</v>
      </c>
      <c r="I63" s="17">
        <f t="shared" si="17"/>
        <v>0</v>
      </c>
      <c r="J63" s="11">
        <f t="shared" si="4"/>
        <v>155.90200000000002</v>
      </c>
    </row>
    <row r="64" spans="1:10" ht="12.75" customHeight="1" x14ac:dyDescent="0.2">
      <c r="A64" s="596"/>
      <c r="B64" s="586"/>
      <c r="C64" s="7">
        <v>2015</v>
      </c>
      <c r="D64" s="15">
        <f>E64+F64+G64+H64+I64</f>
        <v>46.535800000000002</v>
      </c>
      <c r="E64" s="15">
        <f>46535.8/1000</f>
        <v>46.535800000000002</v>
      </c>
      <c r="F64" s="15">
        <v>0</v>
      </c>
      <c r="G64" s="15">
        <v>0</v>
      </c>
      <c r="H64" s="15">
        <v>0</v>
      </c>
      <c r="I64" s="15">
        <v>0</v>
      </c>
      <c r="J64" s="11">
        <f t="shared" si="4"/>
        <v>46.535800000000002</v>
      </c>
    </row>
    <row r="65" spans="1:10" x14ac:dyDescent="0.2">
      <c r="A65" s="596"/>
      <c r="B65" s="586"/>
      <c r="C65" s="7">
        <v>2016</v>
      </c>
      <c r="D65" s="15">
        <f>E65+F65+G65+H65+I65</f>
        <v>50.419899999999998</v>
      </c>
      <c r="E65" s="15">
        <f>50419.9/1000</f>
        <v>50.419899999999998</v>
      </c>
      <c r="F65" s="15">
        <v>0</v>
      </c>
      <c r="G65" s="15">
        <v>0</v>
      </c>
      <c r="H65" s="15">
        <v>0</v>
      </c>
      <c r="I65" s="15">
        <v>0</v>
      </c>
      <c r="J65" s="11">
        <f t="shared" si="4"/>
        <v>50.419899999999998</v>
      </c>
    </row>
    <row r="66" spans="1:10" x14ac:dyDescent="0.2">
      <c r="A66" s="596"/>
      <c r="B66" s="586"/>
      <c r="C66" s="7">
        <v>2017</v>
      </c>
      <c r="D66" s="15">
        <f>E66+F66+G66+H66+I66</f>
        <v>58.946300000000001</v>
      </c>
      <c r="E66" s="15">
        <f>58946.3/1000</f>
        <v>58.946300000000001</v>
      </c>
      <c r="F66" s="15">
        <v>0</v>
      </c>
      <c r="G66" s="15">
        <v>0</v>
      </c>
      <c r="H66" s="15">
        <v>0</v>
      </c>
      <c r="I66" s="15">
        <v>0</v>
      </c>
      <c r="J66" s="11">
        <f t="shared" si="4"/>
        <v>58.946300000000001</v>
      </c>
    </row>
    <row r="67" spans="1:10" x14ac:dyDescent="0.2">
      <c r="A67" s="596" t="s">
        <v>27</v>
      </c>
      <c r="B67" s="595" t="s">
        <v>28</v>
      </c>
      <c r="C67" s="9" t="s">
        <v>198</v>
      </c>
      <c r="D67" s="16">
        <f t="shared" ref="D67:I67" si="18">D68+D69+D70</f>
        <v>154.149</v>
      </c>
      <c r="E67" s="16">
        <f t="shared" si="18"/>
        <v>154.149</v>
      </c>
      <c r="F67" s="16">
        <f t="shared" si="18"/>
        <v>0</v>
      </c>
      <c r="G67" s="16">
        <f t="shared" si="18"/>
        <v>0</v>
      </c>
      <c r="H67" s="17">
        <f t="shared" si="18"/>
        <v>0</v>
      </c>
      <c r="I67" s="17">
        <f t="shared" si="18"/>
        <v>0</v>
      </c>
      <c r="J67" s="11">
        <f t="shared" si="4"/>
        <v>154.149</v>
      </c>
    </row>
    <row r="68" spans="1:10" x14ac:dyDescent="0.2">
      <c r="A68" s="596"/>
      <c r="B68" s="595"/>
      <c r="C68" s="7">
        <v>2015</v>
      </c>
      <c r="D68" s="15">
        <f>E68+F68+G68+H68+I68</f>
        <v>44.9863</v>
      </c>
      <c r="E68" s="17">
        <f>44986.3/1000</f>
        <v>44.9863</v>
      </c>
      <c r="F68" s="17">
        <v>0</v>
      </c>
      <c r="G68" s="17">
        <v>0</v>
      </c>
      <c r="H68" s="17">
        <v>0</v>
      </c>
      <c r="I68" s="17">
        <v>0</v>
      </c>
      <c r="J68" s="11">
        <f t="shared" si="4"/>
        <v>44.9863</v>
      </c>
    </row>
    <row r="69" spans="1:10" x14ac:dyDescent="0.2">
      <c r="A69" s="596"/>
      <c r="B69" s="595"/>
      <c r="C69" s="7">
        <v>2016</v>
      </c>
      <c r="D69" s="15">
        <f>E69+F69+G69+H69+I69</f>
        <v>50.337900000000005</v>
      </c>
      <c r="E69" s="17">
        <f>50337.9/1000</f>
        <v>50.337900000000005</v>
      </c>
      <c r="F69" s="17">
        <v>0</v>
      </c>
      <c r="G69" s="17">
        <v>0</v>
      </c>
      <c r="H69" s="17">
        <v>0</v>
      </c>
      <c r="I69" s="17">
        <v>0</v>
      </c>
      <c r="J69" s="11">
        <f t="shared" si="4"/>
        <v>50.337900000000005</v>
      </c>
    </row>
    <row r="70" spans="1:10" x14ac:dyDescent="0.2">
      <c r="A70" s="596"/>
      <c r="B70" s="595"/>
      <c r="C70" s="7">
        <v>2017</v>
      </c>
      <c r="D70" s="15">
        <f>E70+F70+G70+H70+I70</f>
        <v>58.824800000000003</v>
      </c>
      <c r="E70" s="17">
        <f>58824.8/1000</f>
        <v>58.824800000000003</v>
      </c>
      <c r="F70" s="17">
        <v>0</v>
      </c>
      <c r="G70" s="17">
        <v>0</v>
      </c>
      <c r="H70" s="17">
        <v>0</v>
      </c>
      <c r="I70" s="17">
        <v>0</v>
      </c>
      <c r="J70" s="11">
        <f t="shared" si="4"/>
        <v>58.824800000000003</v>
      </c>
    </row>
    <row r="71" spans="1:10" x14ac:dyDescent="0.2">
      <c r="A71" s="596" t="s">
        <v>29</v>
      </c>
      <c r="B71" s="595" t="s">
        <v>30</v>
      </c>
      <c r="C71" s="9" t="s">
        <v>198</v>
      </c>
      <c r="D71" s="16">
        <f t="shared" ref="D71:I71" si="19">D72+D73+D74</f>
        <v>1.7530000000000001</v>
      </c>
      <c r="E71" s="16">
        <f t="shared" si="19"/>
        <v>1.7530000000000001</v>
      </c>
      <c r="F71" s="16">
        <f t="shared" si="19"/>
        <v>0</v>
      </c>
      <c r="G71" s="16">
        <f t="shared" si="19"/>
        <v>0</v>
      </c>
      <c r="H71" s="17">
        <f t="shared" si="19"/>
        <v>0</v>
      </c>
      <c r="I71" s="17">
        <f t="shared" si="19"/>
        <v>0</v>
      </c>
      <c r="J71" s="11">
        <f t="shared" si="4"/>
        <v>1.7530000000000001</v>
      </c>
    </row>
    <row r="72" spans="1:10" x14ac:dyDescent="0.2">
      <c r="A72" s="596"/>
      <c r="B72" s="595"/>
      <c r="C72" s="7">
        <v>2015</v>
      </c>
      <c r="D72" s="15">
        <f>E72+F72+G72+H72+I72</f>
        <v>1.5495000000000001</v>
      </c>
      <c r="E72" s="15">
        <f>1549.5/1000</f>
        <v>1.5495000000000001</v>
      </c>
      <c r="F72" s="15">
        <v>0</v>
      </c>
      <c r="G72" s="15">
        <v>0</v>
      </c>
      <c r="H72" s="15">
        <v>0</v>
      </c>
      <c r="I72" s="15">
        <v>0</v>
      </c>
      <c r="J72" s="11">
        <f t="shared" si="4"/>
        <v>1.5495000000000001</v>
      </c>
    </row>
    <row r="73" spans="1:10" x14ac:dyDescent="0.2">
      <c r="A73" s="596"/>
      <c r="B73" s="595"/>
      <c r="C73" s="7">
        <v>2016</v>
      </c>
      <c r="D73" s="15">
        <f>E73+F73+G73+H73+I73</f>
        <v>8.2000000000000003E-2</v>
      </c>
      <c r="E73" s="15">
        <f>82/1000</f>
        <v>8.2000000000000003E-2</v>
      </c>
      <c r="F73" s="15">
        <v>0</v>
      </c>
      <c r="G73" s="15">
        <v>0</v>
      </c>
      <c r="H73" s="15">
        <v>0</v>
      </c>
      <c r="I73" s="15">
        <v>0</v>
      </c>
      <c r="J73" s="11">
        <f t="shared" si="4"/>
        <v>8.2000000000000003E-2</v>
      </c>
    </row>
    <row r="74" spans="1:10" x14ac:dyDescent="0.2">
      <c r="A74" s="596"/>
      <c r="B74" s="595"/>
      <c r="C74" s="7">
        <v>2017</v>
      </c>
      <c r="D74" s="15">
        <f>E74+F74+G74+H74+I74</f>
        <v>0.1215</v>
      </c>
      <c r="E74" s="15">
        <f>121.5/1000</f>
        <v>0.1215</v>
      </c>
      <c r="F74" s="15">
        <v>0</v>
      </c>
      <c r="G74" s="15">
        <v>0</v>
      </c>
      <c r="H74" s="15">
        <v>0</v>
      </c>
      <c r="I74" s="15">
        <v>0</v>
      </c>
      <c r="J74" s="11">
        <f t="shared" si="4"/>
        <v>0.1215</v>
      </c>
    </row>
    <row r="75" spans="1:10" ht="14.25" customHeight="1" x14ac:dyDescent="0.2">
      <c r="A75" s="596" t="s">
        <v>31</v>
      </c>
      <c r="B75" s="586" t="s">
        <v>373</v>
      </c>
      <c r="C75" s="9" t="s">
        <v>198</v>
      </c>
      <c r="D75" s="16">
        <f t="shared" ref="D75:I75" si="20">D76+D77+D78</f>
        <v>135.26819999999998</v>
      </c>
      <c r="E75" s="16">
        <f t="shared" si="20"/>
        <v>135.26819999999998</v>
      </c>
      <c r="F75" s="16">
        <f t="shared" si="20"/>
        <v>0</v>
      </c>
      <c r="G75" s="16">
        <f t="shared" si="20"/>
        <v>0</v>
      </c>
      <c r="H75" s="17">
        <f t="shared" si="20"/>
        <v>0</v>
      </c>
      <c r="I75" s="17">
        <f t="shared" si="20"/>
        <v>0</v>
      </c>
      <c r="J75" s="11">
        <f t="shared" si="4"/>
        <v>135.26819999999998</v>
      </c>
    </row>
    <row r="76" spans="1:10" ht="14.25" customHeight="1" x14ac:dyDescent="0.2">
      <c r="A76" s="596"/>
      <c r="B76" s="586"/>
      <c r="C76" s="7">
        <v>2015</v>
      </c>
      <c r="D76" s="15">
        <f>E76+F76+G76+H76+I76</f>
        <v>45.703000000000003</v>
      </c>
      <c r="E76" s="15">
        <f>45703/1000</f>
        <v>45.703000000000003</v>
      </c>
      <c r="F76" s="15">
        <v>0</v>
      </c>
      <c r="G76" s="15">
        <v>0</v>
      </c>
      <c r="H76" s="15">
        <v>0</v>
      </c>
      <c r="I76" s="15">
        <v>0</v>
      </c>
      <c r="J76" s="11">
        <f t="shared" si="4"/>
        <v>45.703000000000003</v>
      </c>
    </row>
    <row r="77" spans="1:10" ht="14.25" customHeight="1" x14ac:dyDescent="0.2">
      <c r="A77" s="596"/>
      <c r="B77" s="586"/>
      <c r="C77" s="7">
        <v>2016</v>
      </c>
      <c r="D77" s="15">
        <f>E77+F77+G77+H77+I77</f>
        <v>44.747099999999996</v>
      </c>
      <c r="E77" s="15">
        <f>44747.1/1000</f>
        <v>44.747099999999996</v>
      </c>
      <c r="F77" s="15">
        <v>0</v>
      </c>
      <c r="G77" s="15">
        <v>0</v>
      </c>
      <c r="H77" s="15">
        <v>0</v>
      </c>
      <c r="I77" s="15">
        <v>0</v>
      </c>
      <c r="J77" s="11">
        <f t="shared" si="4"/>
        <v>44.747099999999996</v>
      </c>
    </row>
    <row r="78" spans="1:10" ht="15.75" customHeight="1" x14ac:dyDescent="0.2">
      <c r="A78" s="596"/>
      <c r="B78" s="586"/>
      <c r="C78" s="7">
        <v>2017</v>
      </c>
      <c r="D78" s="15">
        <f>E78+F78+G78+H78+I78</f>
        <v>44.818100000000001</v>
      </c>
      <c r="E78" s="15">
        <f>44818.1/1000</f>
        <v>44.818100000000001</v>
      </c>
      <c r="F78" s="15">
        <v>0</v>
      </c>
      <c r="G78" s="15">
        <v>0</v>
      </c>
      <c r="H78" s="15">
        <v>0</v>
      </c>
      <c r="I78" s="15">
        <v>0</v>
      </c>
      <c r="J78" s="11">
        <f t="shared" si="4"/>
        <v>44.818100000000001</v>
      </c>
    </row>
    <row r="79" spans="1:10" x14ac:dyDescent="0.2">
      <c r="A79" s="596" t="s">
        <v>32</v>
      </c>
      <c r="B79" s="595" t="s">
        <v>33</v>
      </c>
      <c r="C79" s="9" t="s">
        <v>198</v>
      </c>
      <c r="D79" s="16">
        <f t="shared" ref="D79:I79" si="21">D80+D81+D82</f>
        <v>18.072000000000003</v>
      </c>
      <c r="E79" s="16">
        <f t="shared" si="21"/>
        <v>18.072000000000003</v>
      </c>
      <c r="F79" s="16">
        <f t="shared" si="21"/>
        <v>0</v>
      </c>
      <c r="G79" s="16">
        <f t="shared" si="21"/>
        <v>0</v>
      </c>
      <c r="H79" s="17">
        <f t="shared" si="21"/>
        <v>0</v>
      </c>
      <c r="I79" s="17">
        <f t="shared" si="21"/>
        <v>0</v>
      </c>
      <c r="J79" s="11">
        <f t="shared" si="4"/>
        <v>18.072000000000003</v>
      </c>
    </row>
    <row r="80" spans="1:10" ht="15.75" customHeight="1" x14ac:dyDescent="0.2">
      <c r="A80" s="596"/>
      <c r="B80" s="595"/>
      <c r="C80" s="7">
        <v>2015</v>
      </c>
      <c r="D80" s="15">
        <f>E80+F80+G80+H80+I80</f>
        <v>6.1076000000000006</v>
      </c>
      <c r="E80" s="17">
        <f>6107.6/1000</f>
        <v>6.1076000000000006</v>
      </c>
      <c r="F80" s="17">
        <v>0</v>
      </c>
      <c r="G80" s="17">
        <v>0</v>
      </c>
      <c r="H80" s="17">
        <v>0</v>
      </c>
      <c r="I80" s="15">
        <v>0</v>
      </c>
      <c r="J80" s="11">
        <f t="shared" ref="J80:J143" si="22">SUM(E80:I80)</f>
        <v>6.1076000000000006</v>
      </c>
    </row>
    <row r="81" spans="1:10" ht="15.75" customHeight="1" x14ac:dyDescent="0.2">
      <c r="A81" s="596"/>
      <c r="B81" s="595"/>
      <c r="C81" s="7">
        <v>2016</v>
      </c>
      <c r="D81" s="15">
        <f>E81+F81+G81+H81+I81</f>
        <v>5.9818999999999996</v>
      </c>
      <c r="E81" s="17">
        <f>5981.9/1000</f>
        <v>5.9818999999999996</v>
      </c>
      <c r="F81" s="17">
        <v>0</v>
      </c>
      <c r="G81" s="17">
        <v>0</v>
      </c>
      <c r="H81" s="17">
        <v>0</v>
      </c>
      <c r="I81" s="15">
        <v>0</v>
      </c>
      <c r="J81" s="11">
        <f t="shared" si="22"/>
        <v>5.9818999999999996</v>
      </c>
    </row>
    <row r="82" spans="1:10" ht="15.75" customHeight="1" x14ac:dyDescent="0.2">
      <c r="A82" s="596"/>
      <c r="B82" s="595"/>
      <c r="C82" s="7">
        <v>2017</v>
      </c>
      <c r="D82" s="15">
        <f>E82+F82+G82+H82+I82</f>
        <v>5.9824999999999999</v>
      </c>
      <c r="E82" s="17">
        <f>5982.5/1000</f>
        <v>5.9824999999999999</v>
      </c>
      <c r="F82" s="17">
        <v>0</v>
      </c>
      <c r="G82" s="17">
        <v>0</v>
      </c>
      <c r="H82" s="17">
        <v>0</v>
      </c>
      <c r="I82" s="15">
        <v>0</v>
      </c>
      <c r="J82" s="11">
        <f t="shared" si="22"/>
        <v>5.9824999999999999</v>
      </c>
    </row>
    <row r="83" spans="1:10" ht="15.75" customHeight="1" x14ac:dyDescent="0.2">
      <c r="A83" s="596" t="s">
        <v>34</v>
      </c>
      <c r="B83" s="595" t="s">
        <v>35</v>
      </c>
      <c r="C83" s="9" t="s">
        <v>198</v>
      </c>
      <c r="D83" s="16">
        <f t="shared" ref="D83:I83" si="23">D84+D85+D86</f>
        <v>95.993200000000002</v>
      </c>
      <c r="E83" s="16">
        <f t="shared" si="23"/>
        <v>95.993200000000002</v>
      </c>
      <c r="F83" s="16">
        <f t="shared" si="23"/>
        <v>0</v>
      </c>
      <c r="G83" s="16">
        <f t="shared" si="23"/>
        <v>0</v>
      </c>
      <c r="H83" s="17">
        <f t="shared" si="23"/>
        <v>0</v>
      </c>
      <c r="I83" s="17">
        <f t="shared" si="23"/>
        <v>0</v>
      </c>
      <c r="J83" s="11">
        <f t="shared" si="22"/>
        <v>95.993200000000002</v>
      </c>
    </row>
    <row r="84" spans="1:10" ht="15.75" customHeight="1" x14ac:dyDescent="0.2">
      <c r="A84" s="596"/>
      <c r="B84" s="595"/>
      <c r="C84" s="7">
        <v>2015</v>
      </c>
      <c r="D84" s="15">
        <f>E84+F84+G84+H84+I84</f>
        <v>32.4953</v>
      </c>
      <c r="E84" s="17">
        <f>32495.3/1000</f>
        <v>32.4953</v>
      </c>
      <c r="F84" s="17">
        <v>0</v>
      </c>
      <c r="G84" s="17">
        <v>0</v>
      </c>
      <c r="H84" s="17">
        <v>0</v>
      </c>
      <c r="I84" s="15">
        <v>0</v>
      </c>
      <c r="J84" s="11">
        <f t="shared" si="22"/>
        <v>32.4953</v>
      </c>
    </row>
    <row r="85" spans="1:10" ht="15.75" customHeight="1" x14ac:dyDescent="0.2">
      <c r="A85" s="596"/>
      <c r="B85" s="595"/>
      <c r="C85" s="7">
        <v>2016</v>
      </c>
      <c r="D85" s="15">
        <f>E85+F85+G85+H85+I85</f>
        <v>31.713799999999999</v>
      </c>
      <c r="E85" s="17">
        <f>31713.8/1000</f>
        <v>31.713799999999999</v>
      </c>
      <c r="F85" s="17">
        <v>0</v>
      </c>
      <c r="G85" s="17">
        <v>0</v>
      </c>
      <c r="H85" s="17">
        <v>0</v>
      </c>
      <c r="I85" s="15">
        <v>0</v>
      </c>
      <c r="J85" s="11">
        <f t="shared" si="22"/>
        <v>31.713799999999999</v>
      </c>
    </row>
    <row r="86" spans="1:10" ht="15.75" customHeight="1" x14ac:dyDescent="0.2">
      <c r="A86" s="596"/>
      <c r="B86" s="595"/>
      <c r="C86" s="7">
        <v>2017</v>
      </c>
      <c r="D86" s="15">
        <f>E86+F86+G86+H86+I86</f>
        <v>31.784099999999999</v>
      </c>
      <c r="E86" s="17">
        <f>31784.1/1000</f>
        <v>31.784099999999999</v>
      </c>
      <c r="F86" s="17">
        <v>0</v>
      </c>
      <c r="G86" s="17">
        <v>0</v>
      </c>
      <c r="H86" s="17">
        <v>0</v>
      </c>
      <c r="I86" s="15">
        <v>0</v>
      </c>
      <c r="J86" s="11">
        <f t="shared" si="22"/>
        <v>31.784099999999999</v>
      </c>
    </row>
    <row r="87" spans="1:10" x14ac:dyDescent="0.2">
      <c r="A87" s="596" t="s">
        <v>36</v>
      </c>
      <c r="B87" s="595" t="s">
        <v>37</v>
      </c>
      <c r="C87" s="9" t="s">
        <v>198</v>
      </c>
      <c r="D87" s="16">
        <f t="shared" ref="D87:I87" si="24">D88+D89+D90</f>
        <v>21.202999999999999</v>
      </c>
      <c r="E87" s="16">
        <f t="shared" si="24"/>
        <v>21.202999999999999</v>
      </c>
      <c r="F87" s="16">
        <f t="shared" si="24"/>
        <v>0</v>
      </c>
      <c r="G87" s="16">
        <f t="shared" si="24"/>
        <v>0</v>
      </c>
      <c r="H87" s="17">
        <f t="shared" si="24"/>
        <v>0</v>
      </c>
      <c r="I87" s="17">
        <f t="shared" si="24"/>
        <v>0</v>
      </c>
      <c r="J87" s="11">
        <f t="shared" si="22"/>
        <v>21.202999999999999</v>
      </c>
    </row>
    <row r="88" spans="1:10" ht="15.75" customHeight="1" x14ac:dyDescent="0.2">
      <c r="A88" s="596"/>
      <c r="B88" s="595"/>
      <c r="C88" s="7">
        <v>2015</v>
      </c>
      <c r="D88" s="15">
        <f>E88+F88+G88+H88+I88</f>
        <v>7.1001000000000003</v>
      </c>
      <c r="E88" s="17">
        <f>7100.1/1000</f>
        <v>7.1001000000000003</v>
      </c>
      <c r="F88" s="17">
        <v>0</v>
      </c>
      <c r="G88" s="17">
        <v>0</v>
      </c>
      <c r="H88" s="17">
        <v>0</v>
      </c>
      <c r="I88" s="15">
        <v>0</v>
      </c>
      <c r="J88" s="11">
        <f t="shared" si="22"/>
        <v>7.1001000000000003</v>
      </c>
    </row>
    <row r="89" spans="1:10" ht="15.75" customHeight="1" x14ac:dyDescent="0.2">
      <c r="A89" s="596"/>
      <c r="B89" s="595"/>
      <c r="C89" s="7">
        <v>2016</v>
      </c>
      <c r="D89" s="15">
        <f>E89+F89+G89+H89+I89</f>
        <v>7.0513999999999992</v>
      </c>
      <c r="E89" s="17">
        <f>7051.4/1000</f>
        <v>7.0513999999999992</v>
      </c>
      <c r="F89" s="17">
        <v>0</v>
      </c>
      <c r="G89" s="17">
        <v>0</v>
      </c>
      <c r="H89" s="17">
        <v>0</v>
      </c>
      <c r="I89" s="15">
        <v>0</v>
      </c>
      <c r="J89" s="11">
        <f t="shared" si="22"/>
        <v>7.0513999999999992</v>
      </c>
    </row>
    <row r="90" spans="1:10" ht="15.75" customHeight="1" x14ac:dyDescent="0.2">
      <c r="A90" s="596"/>
      <c r="B90" s="595"/>
      <c r="C90" s="7">
        <v>2017</v>
      </c>
      <c r="D90" s="15">
        <f>E90+F90+G90+H90+I90</f>
        <v>7.0514999999999999</v>
      </c>
      <c r="E90" s="17">
        <f>7051.5/1000</f>
        <v>7.0514999999999999</v>
      </c>
      <c r="F90" s="17">
        <v>0</v>
      </c>
      <c r="G90" s="17">
        <v>0</v>
      </c>
      <c r="H90" s="17">
        <v>0</v>
      </c>
      <c r="I90" s="15">
        <v>0</v>
      </c>
      <c r="J90" s="11">
        <f t="shared" si="22"/>
        <v>7.0514999999999999</v>
      </c>
    </row>
    <row r="91" spans="1:10" x14ac:dyDescent="0.2">
      <c r="A91" s="596" t="s">
        <v>38</v>
      </c>
      <c r="B91" s="619" t="s">
        <v>39</v>
      </c>
      <c r="C91" s="9" t="s">
        <v>198</v>
      </c>
      <c r="D91" s="16">
        <f t="shared" ref="D91:I91" si="25">D92+D93+D94</f>
        <v>410.77689999999996</v>
      </c>
      <c r="E91" s="16">
        <f t="shared" si="25"/>
        <v>409.91829999999993</v>
      </c>
      <c r="F91" s="16">
        <f t="shared" si="25"/>
        <v>0.1056</v>
      </c>
      <c r="G91" s="16">
        <f t="shared" si="25"/>
        <v>0.753</v>
      </c>
      <c r="H91" s="17">
        <f t="shared" si="25"/>
        <v>0</v>
      </c>
      <c r="I91" s="17">
        <f t="shared" si="25"/>
        <v>0</v>
      </c>
      <c r="J91" s="11">
        <f t="shared" si="22"/>
        <v>410.7768999999999</v>
      </c>
    </row>
    <row r="92" spans="1:10" x14ac:dyDescent="0.2">
      <c r="A92" s="596"/>
      <c r="B92" s="619"/>
      <c r="C92" s="7">
        <v>2015</v>
      </c>
      <c r="D92" s="15">
        <f t="shared" ref="D92:I94" si="26">D96</f>
        <v>117.7098</v>
      </c>
      <c r="E92" s="17">
        <f t="shared" si="26"/>
        <v>117.42359999999999</v>
      </c>
      <c r="F92" s="17">
        <f t="shared" si="26"/>
        <v>3.5200000000000002E-2</v>
      </c>
      <c r="G92" s="17">
        <f t="shared" si="26"/>
        <v>0.251</v>
      </c>
      <c r="H92" s="17">
        <f t="shared" si="26"/>
        <v>0</v>
      </c>
      <c r="I92" s="17">
        <f t="shared" si="26"/>
        <v>0</v>
      </c>
      <c r="J92" s="11">
        <f t="shared" si="22"/>
        <v>117.7098</v>
      </c>
    </row>
    <row r="93" spans="1:10" x14ac:dyDescent="0.2">
      <c r="A93" s="596"/>
      <c r="B93" s="619"/>
      <c r="C93" s="7">
        <v>2016</v>
      </c>
      <c r="D93" s="15">
        <f t="shared" si="26"/>
        <v>136.09410000000003</v>
      </c>
      <c r="E93" s="17">
        <f t="shared" si="26"/>
        <v>135.80790000000002</v>
      </c>
      <c r="F93" s="17">
        <f t="shared" si="26"/>
        <v>3.5200000000000002E-2</v>
      </c>
      <c r="G93" s="17">
        <f t="shared" si="26"/>
        <v>0.251</v>
      </c>
      <c r="H93" s="17">
        <f t="shared" si="26"/>
        <v>0</v>
      </c>
      <c r="I93" s="17">
        <f t="shared" si="26"/>
        <v>0</v>
      </c>
      <c r="J93" s="11">
        <f t="shared" si="22"/>
        <v>136.09410000000003</v>
      </c>
    </row>
    <row r="94" spans="1:10" x14ac:dyDescent="0.2">
      <c r="A94" s="596"/>
      <c r="B94" s="619"/>
      <c r="C94" s="7">
        <v>2017</v>
      </c>
      <c r="D94" s="15">
        <f t="shared" si="26"/>
        <v>156.97299999999996</v>
      </c>
      <c r="E94" s="17">
        <f t="shared" si="26"/>
        <v>156.68679999999995</v>
      </c>
      <c r="F94" s="17">
        <f t="shared" si="26"/>
        <v>3.5200000000000002E-2</v>
      </c>
      <c r="G94" s="17">
        <f t="shared" si="26"/>
        <v>0.251</v>
      </c>
      <c r="H94" s="17">
        <f t="shared" si="26"/>
        <v>0</v>
      </c>
      <c r="I94" s="17">
        <f t="shared" si="26"/>
        <v>0</v>
      </c>
      <c r="J94" s="11">
        <f t="shared" si="22"/>
        <v>156.97299999999996</v>
      </c>
    </row>
    <row r="95" spans="1:10" ht="15.75" customHeight="1" x14ac:dyDescent="0.2">
      <c r="A95" s="596" t="s">
        <v>199</v>
      </c>
      <c r="B95" s="620" t="s">
        <v>40</v>
      </c>
      <c r="C95" s="9" t="s">
        <v>198</v>
      </c>
      <c r="D95" s="16">
        <f t="shared" ref="D95:I95" si="27">D96+D97+D98</f>
        <v>410.77689999999996</v>
      </c>
      <c r="E95" s="16">
        <f t="shared" si="27"/>
        <v>409.91829999999993</v>
      </c>
      <c r="F95" s="16">
        <f t="shared" si="27"/>
        <v>0.1056</v>
      </c>
      <c r="G95" s="16">
        <f t="shared" si="27"/>
        <v>0.753</v>
      </c>
      <c r="H95" s="17">
        <f t="shared" si="27"/>
        <v>0</v>
      </c>
      <c r="I95" s="17">
        <f t="shared" si="27"/>
        <v>0</v>
      </c>
      <c r="J95" s="11">
        <f t="shared" si="22"/>
        <v>410.7768999999999</v>
      </c>
    </row>
    <row r="96" spans="1:10" x14ac:dyDescent="0.2">
      <c r="A96" s="596"/>
      <c r="B96" s="620"/>
      <c r="C96" s="7">
        <v>2015</v>
      </c>
      <c r="D96" s="15">
        <f>E96+F96+G96+H96+I96</f>
        <v>117.7098</v>
      </c>
      <c r="E96" s="18">
        <f>E100+E124+E140+E160+E180+E216</f>
        <v>117.42359999999999</v>
      </c>
      <c r="F96" s="18">
        <f>F100+F124+F140+F160+F180+F216</f>
        <v>3.5200000000000002E-2</v>
      </c>
      <c r="G96" s="18">
        <f>G100+G124+G140+G160+G180+G216</f>
        <v>0.251</v>
      </c>
      <c r="H96" s="18">
        <f>H100+H124+H140+H160+H180+H216</f>
        <v>0</v>
      </c>
      <c r="I96" s="18">
        <f>I100+I124+I140+I160+I180+I216</f>
        <v>0</v>
      </c>
      <c r="J96" s="11">
        <f t="shared" si="22"/>
        <v>117.7098</v>
      </c>
    </row>
    <row r="97" spans="1:10" x14ac:dyDescent="0.2">
      <c r="A97" s="596"/>
      <c r="B97" s="620"/>
      <c r="C97" s="7">
        <v>2016</v>
      </c>
      <c r="D97" s="15">
        <f>E97+F97+G97+H97+I97</f>
        <v>136.09410000000003</v>
      </c>
      <c r="E97" s="18">
        <f t="shared" ref="E97:I98" si="28">E101+E125+E141+E161+E181+E217</f>
        <v>135.80790000000002</v>
      </c>
      <c r="F97" s="18">
        <f t="shared" si="28"/>
        <v>3.5200000000000002E-2</v>
      </c>
      <c r="G97" s="18">
        <f t="shared" si="28"/>
        <v>0.251</v>
      </c>
      <c r="H97" s="18">
        <f t="shared" si="28"/>
        <v>0</v>
      </c>
      <c r="I97" s="18">
        <f t="shared" si="28"/>
        <v>0</v>
      </c>
      <c r="J97" s="11">
        <f t="shared" si="22"/>
        <v>136.09410000000003</v>
      </c>
    </row>
    <row r="98" spans="1:10" x14ac:dyDescent="0.2">
      <c r="A98" s="596"/>
      <c r="B98" s="620"/>
      <c r="C98" s="7">
        <v>2017</v>
      </c>
      <c r="D98" s="15">
        <f>E98+F98+G98+H98+I98</f>
        <v>156.97299999999996</v>
      </c>
      <c r="E98" s="18">
        <f t="shared" si="28"/>
        <v>156.68679999999995</v>
      </c>
      <c r="F98" s="18">
        <f t="shared" si="28"/>
        <v>3.5200000000000002E-2</v>
      </c>
      <c r="G98" s="18">
        <f t="shared" si="28"/>
        <v>0.251</v>
      </c>
      <c r="H98" s="18">
        <f t="shared" si="28"/>
        <v>0</v>
      </c>
      <c r="I98" s="18">
        <f t="shared" si="28"/>
        <v>0</v>
      </c>
      <c r="J98" s="11">
        <f t="shared" si="22"/>
        <v>156.97299999999996</v>
      </c>
    </row>
    <row r="99" spans="1:10" x14ac:dyDescent="0.2">
      <c r="A99" s="596" t="s">
        <v>41</v>
      </c>
      <c r="B99" s="617" t="s">
        <v>42</v>
      </c>
      <c r="C99" s="9" t="s">
        <v>198</v>
      </c>
      <c r="D99" s="16">
        <f t="shared" ref="D99:I99" si="29">D100+D101+D102</f>
        <v>0.49680000000000007</v>
      </c>
      <c r="E99" s="16">
        <f t="shared" si="29"/>
        <v>0.28560000000000002</v>
      </c>
      <c r="F99" s="16">
        <f t="shared" si="29"/>
        <v>0.1056</v>
      </c>
      <c r="G99" s="16">
        <f t="shared" si="29"/>
        <v>0.1056</v>
      </c>
      <c r="H99" s="17">
        <f t="shared" si="29"/>
        <v>0</v>
      </c>
      <c r="I99" s="17">
        <f t="shared" si="29"/>
        <v>0</v>
      </c>
      <c r="J99" s="11">
        <f t="shared" si="22"/>
        <v>0.49680000000000002</v>
      </c>
    </row>
    <row r="100" spans="1:10" x14ac:dyDescent="0.2">
      <c r="A100" s="596"/>
      <c r="B100" s="617"/>
      <c r="C100" s="7">
        <v>2015</v>
      </c>
      <c r="D100" s="15">
        <f>E100+F100+G100+H100+I100</f>
        <v>0.16560000000000002</v>
      </c>
      <c r="E100" s="18">
        <f>95.2/1000</f>
        <v>9.5200000000000007E-2</v>
      </c>
      <c r="F100" s="18">
        <f t="shared" ref="F100:G102" si="30">35.2/1000</f>
        <v>3.5200000000000002E-2</v>
      </c>
      <c r="G100" s="18">
        <f t="shared" si="30"/>
        <v>3.5200000000000002E-2</v>
      </c>
      <c r="H100" s="17">
        <v>0</v>
      </c>
      <c r="I100" s="15">
        <v>0</v>
      </c>
      <c r="J100" s="11">
        <f t="shared" si="22"/>
        <v>0.16560000000000002</v>
      </c>
    </row>
    <row r="101" spans="1:10" x14ac:dyDescent="0.2">
      <c r="A101" s="596"/>
      <c r="B101" s="617"/>
      <c r="C101" s="7">
        <v>2016</v>
      </c>
      <c r="D101" s="15">
        <f>E101+F101+G101+H101+I101</f>
        <v>0.16560000000000002</v>
      </c>
      <c r="E101" s="18">
        <f>95.2/1000</f>
        <v>9.5200000000000007E-2</v>
      </c>
      <c r="F101" s="18">
        <f t="shared" si="30"/>
        <v>3.5200000000000002E-2</v>
      </c>
      <c r="G101" s="18">
        <f t="shared" si="30"/>
        <v>3.5200000000000002E-2</v>
      </c>
      <c r="H101" s="17">
        <v>0</v>
      </c>
      <c r="I101" s="15">
        <v>0</v>
      </c>
      <c r="J101" s="11">
        <f t="shared" si="22"/>
        <v>0.16560000000000002</v>
      </c>
    </row>
    <row r="102" spans="1:10" x14ac:dyDescent="0.2">
      <c r="A102" s="596"/>
      <c r="B102" s="617"/>
      <c r="C102" s="7">
        <v>2017</v>
      </c>
      <c r="D102" s="15">
        <f>E102+F102+G102+H102+I102</f>
        <v>0.16560000000000002</v>
      </c>
      <c r="E102" s="18">
        <f>95.2/1000</f>
        <v>9.5200000000000007E-2</v>
      </c>
      <c r="F102" s="18">
        <f t="shared" si="30"/>
        <v>3.5200000000000002E-2</v>
      </c>
      <c r="G102" s="18">
        <f t="shared" si="30"/>
        <v>3.5200000000000002E-2</v>
      </c>
      <c r="H102" s="17">
        <v>0</v>
      </c>
      <c r="I102" s="15">
        <v>0</v>
      </c>
      <c r="J102" s="11">
        <f t="shared" si="22"/>
        <v>0.16560000000000002</v>
      </c>
    </row>
    <row r="103" spans="1:10" ht="15.75" customHeight="1" x14ac:dyDescent="0.2">
      <c r="A103" s="596" t="s">
        <v>43</v>
      </c>
      <c r="B103" s="617" t="s">
        <v>44</v>
      </c>
      <c r="C103" s="9" t="s">
        <v>198</v>
      </c>
      <c r="D103" s="16">
        <f t="shared" ref="D103:I103" si="31">D104+D105+D106</f>
        <v>0.09</v>
      </c>
      <c r="E103" s="16">
        <f t="shared" si="31"/>
        <v>0.09</v>
      </c>
      <c r="F103" s="16">
        <f t="shared" si="31"/>
        <v>0</v>
      </c>
      <c r="G103" s="16">
        <f t="shared" si="31"/>
        <v>0</v>
      </c>
      <c r="H103" s="17">
        <f t="shared" si="31"/>
        <v>0</v>
      </c>
      <c r="I103" s="17">
        <f t="shared" si="31"/>
        <v>0</v>
      </c>
      <c r="J103" s="11">
        <f t="shared" si="22"/>
        <v>0.09</v>
      </c>
    </row>
    <row r="104" spans="1:10" ht="15.75" customHeight="1" x14ac:dyDescent="0.2">
      <c r="A104" s="596"/>
      <c r="B104" s="617"/>
      <c r="C104" s="7">
        <v>2015</v>
      </c>
      <c r="D104" s="15">
        <f>E104+F104+G104+H104+I104</f>
        <v>0.03</v>
      </c>
      <c r="E104" s="18">
        <f>30/1000</f>
        <v>0.03</v>
      </c>
      <c r="F104" s="18">
        <v>0</v>
      </c>
      <c r="G104" s="18">
        <v>0</v>
      </c>
      <c r="H104" s="17">
        <v>0</v>
      </c>
      <c r="I104" s="17">
        <v>0</v>
      </c>
      <c r="J104" s="11">
        <f t="shared" si="22"/>
        <v>0.03</v>
      </c>
    </row>
    <row r="105" spans="1:10" ht="15.75" customHeight="1" x14ac:dyDescent="0.2">
      <c r="A105" s="596"/>
      <c r="B105" s="617"/>
      <c r="C105" s="7">
        <v>2016</v>
      </c>
      <c r="D105" s="15">
        <f>E105+F105+G105+H105+I105</f>
        <v>0.03</v>
      </c>
      <c r="E105" s="18">
        <f>30/1000</f>
        <v>0.03</v>
      </c>
      <c r="F105" s="18">
        <v>0</v>
      </c>
      <c r="G105" s="18">
        <v>0</v>
      </c>
      <c r="H105" s="17">
        <v>0</v>
      </c>
      <c r="I105" s="17">
        <v>0</v>
      </c>
      <c r="J105" s="11">
        <f t="shared" si="22"/>
        <v>0.03</v>
      </c>
    </row>
    <row r="106" spans="1:10" ht="15.75" customHeight="1" x14ac:dyDescent="0.2">
      <c r="A106" s="596"/>
      <c r="B106" s="617"/>
      <c r="C106" s="7">
        <v>2017</v>
      </c>
      <c r="D106" s="15">
        <f>E106+F106+G106+H106+I106</f>
        <v>0.03</v>
      </c>
      <c r="E106" s="18">
        <f>30/1000</f>
        <v>0.03</v>
      </c>
      <c r="F106" s="18">
        <v>0</v>
      </c>
      <c r="G106" s="18">
        <v>0</v>
      </c>
      <c r="H106" s="17">
        <v>0</v>
      </c>
      <c r="I106" s="17">
        <v>0</v>
      </c>
      <c r="J106" s="11">
        <f t="shared" si="22"/>
        <v>0.03</v>
      </c>
    </row>
    <row r="107" spans="1:10" ht="15.75" customHeight="1" x14ac:dyDescent="0.2">
      <c r="A107" s="596" t="s">
        <v>45</v>
      </c>
      <c r="B107" s="587" t="s">
        <v>46</v>
      </c>
      <c r="C107" s="9" t="s">
        <v>198</v>
      </c>
      <c r="D107" s="16">
        <f t="shared" ref="D107:I107" si="32">D108+D109+D110</f>
        <v>1.4999999999999999E-2</v>
      </c>
      <c r="E107" s="16">
        <f t="shared" si="32"/>
        <v>1.4999999999999999E-2</v>
      </c>
      <c r="F107" s="16">
        <f t="shared" si="32"/>
        <v>0</v>
      </c>
      <c r="G107" s="16">
        <f t="shared" si="32"/>
        <v>0</v>
      </c>
      <c r="H107" s="17">
        <f t="shared" si="32"/>
        <v>0</v>
      </c>
      <c r="I107" s="17">
        <f t="shared" si="32"/>
        <v>0</v>
      </c>
      <c r="J107" s="11">
        <f t="shared" si="22"/>
        <v>1.4999999999999999E-2</v>
      </c>
    </row>
    <row r="108" spans="1:10" x14ac:dyDescent="0.2">
      <c r="A108" s="596"/>
      <c r="B108" s="587"/>
      <c r="C108" s="7">
        <v>2015</v>
      </c>
      <c r="D108" s="15">
        <f>E108+F108+G108+H108+I108</f>
        <v>5.0000000000000001E-3</v>
      </c>
      <c r="E108" s="18">
        <f>5/1000</f>
        <v>5.0000000000000001E-3</v>
      </c>
      <c r="F108" s="18">
        <v>0</v>
      </c>
      <c r="G108" s="18">
        <v>0</v>
      </c>
      <c r="H108" s="17">
        <v>0</v>
      </c>
      <c r="I108" s="15">
        <v>0</v>
      </c>
      <c r="J108" s="11">
        <f t="shared" si="22"/>
        <v>5.0000000000000001E-3</v>
      </c>
    </row>
    <row r="109" spans="1:10" x14ac:dyDescent="0.2">
      <c r="A109" s="596"/>
      <c r="B109" s="587"/>
      <c r="C109" s="7">
        <v>2016</v>
      </c>
      <c r="D109" s="15">
        <f>E109+F109+G109+H109+I109</f>
        <v>5.0000000000000001E-3</v>
      </c>
      <c r="E109" s="18">
        <f>5/1000</f>
        <v>5.0000000000000001E-3</v>
      </c>
      <c r="F109" s="18">
        <v>0</v>
      </c>
      <c r="G109" s="18">
        <v>0</v>
      </c>
      <c r="H109" s="17">
        <v>0</v>
      </c>
      <c r="I109" s="15">
        <v>0</v>
      </c>
      <c r="J109" s="11">
        <f t="shared" si="22"/>
        <v>5.0000000000000001E-3</v>
      </c>
    </row>
    <row r="110" spans="1:10" x14ac:dyDescent="0.2">
      <c r="A110" s="596"/>
      <c r="B110" s="587"/>
      <c r="C110" s="7">
        <v>2017</v>
      </c>
      <c r="D110" s="15">
        <f>E110+F110+G110+H110+I110</f>
        <v>5.0000000000000001E-3</v>
      </c>
      <c r="E110" s="18">
        <f>5/1000</f>
        <v>5.0000000000000001E-3</v>
      </c>
      <c r="F110" s="18">
        <v>0</v>
      </c>
      <c r="G110" s="18">
        <v>0</v>
      </c>
      <c r="H110" s="17">
        <v>0</v>
      </c>
      <c r="I110" s="15">
        <v>0</v>
      </c>
      <c r="J110" s="11">
        <f t="shared" si="22"/>
        <v>5.0000000000000001E-3</v>
      </c>
    </row>
    <row r="111" spans="1:10" x14ac:dyDescent="0.2">
      <c r="A111" s="596" t="s">
        <v>47</v>
      </c>
      <c r="B111" s="587" t="s">
        <v>48</v>
      </c>
      <c r="C111" s="9" t="s">
        <v>198</v>
      </c>
      <c r="D111" s="16">
        <f t="shared" ref="D111:I111" si="33">D112+D113+D114</f>
        <v>0.31679999999999997</v>
      </c>
      <c r="E111" s="16">
        <f t="shared" si="33"/>
        <v>0.1056</v>
      </c>
      <c r="F111" s="16">
        <f t="shared" si="33"/>
        <v>0.1056</v>
      </c>
      <c r="G111" s="16">
        <f t="shared" si="33"/>
        <v>0.1056</v>
      </c>
      <c r="H111" s="16">
        <f t="shared" si="33"/>
        <v>0</v>
      </c>
      <c r="I111" s="16">
        <f t="shared" si="33"/>
        <v>0</v>
      </c>
      <c r="J111" s="11">
        <f t="shared" si="22"/>
        <v>0.31679999999999997</v>
      </c>
    </row>
    <row r="112" spans="1:10" x14ac:dyDescent="0.2">
      <c r="A112" s="596"/>
      <c r="B112" s="587"/>
      <c r="C112" s="7">
        <v>2015</v>
      </c>
      <c r="D112" s="15">
        <f>E112+F112+G112+H112+I112</f>
        <v>0.1056</v>
      </c>
      <c r="E112" s="18">
        <f t="shared" ref="E112:G114" si="34">35.2/1000</f>
        <v>3.5200000000000002E-2</v>
      </c>
      <c r="F112" s="18">
        <f t="shared" si="34"/>
        <v>3.5200000000000002E-2</v>
      </c>
      <c r="G112" s="18">
        <f t="shared" si="34"/>
        <v>3.5200000000000002E-2</v>
      </c>
      <c r="H112" s="17">
        <v>0</v>
      </c>
      <c r="I112" s="15">
        <v>0</v>
      </c>
      <c r="J112" s="11">
        <f t="shared" si="22"/>
        <v>0.1056</v>
      </c>
    </row>
    <row r="113" spans="1:10" ht="15.75" customHeight="1" x14ac:dyDescent="0.2">
      <c r="A113" s="596"/>
      <c r="B113" s="587"/>
      <c r="C113" s="7">
        <v>2016</v>
      </c>
      <c r="D113" s="15">
        <f>E113+F113+G113+H113+I113</f>
        <v>0.1056</v>
      </c>
      <c r="E113" s="18">
        <f t="shared" si="34"/>
        <v>3.5200000000000002E-2</v>
      </c>
      <c r="F113" s="18">
        <f t="shared" si="34"/>
        <v>3.5200000000000002E-2</v>
      </c>
      <c r="G113" s="18">
        <f t="shared" si="34"/>
        <v>3.5200000000000002E-2</v>
      </c>
      <c r="H113" s="17">
        <v>0</v>
      </c>
      <c r="I113" s="15">
        <v>0</v>
      </c>
      <c r="J113" s="11">
        <f t="shared" si="22"/>
        <v>0.1056</v>
      </c>
    </row>
    <row r="114" spans="1:10" ht="15.75" customHeight="1" x14ac:dyDescent="0.2">
      <c r="A114" s="596"/>
      <c r="B114" s="587"/>
      <c r="C114" s="7">
        <v>2017</v>
      </c>
      <c r="D114" s="15">
        <f>E114+F114+G114+H114+I114</f>
        <v>0.1056</v>
      </c>
      <c r="E114" s="18">
        <f t="shared" si="34"/>
        <v>3.5200000000000002E-2</v>
      </c>
      <c r="F114" s="18">
        <f t="shared" si="34"/>
        <v>3.5200000000000002E-2</v>
      </c>
      <c r="G114" s="18">
        <f t="shared" si="34"/>
        <v>3.5200000000000002E-2</v>
      </c>
      <c r="H114" s="17">
        <v>0</v>
      </c>
      <c r="I114" s="15">
        <v>0</v>
      </c>
      <c r="J114" s="11">
        <f t="shared" si="22"/>
        <v>0.1056</v>
      </c>
    </row>
    <row r="115" spans="1:10" x14ac:dyDescent="0.2">
      <c r="A115" s="596" t="s">
        <v>49</v>
      </c>
      <c r="B115" s="587" t="s">
        <v>50</v>
      </c>
      <c r="C115" s="9" t="s">
        <v>198</v>
      </c>
      <c r="D115" s="16">
        <f>D116+D117+D118</f>
        <v>4.4999999999999998E-2</v>
      </c>
      <c r="E115" s="16">
        <f t="shared" ref="E115:I118" si="35">E116+E117+E118</f>
        <v>4.4999999999999998E-2</v>
      </c>
      <c r="F115" s="16">
        <f t="shared" si="35"/>
        <v>0</v>
      </c>
      <c r="G115" s="16">
        <f t="shared" si="35"/>
        <v>0</v>
      </c>
      <c r="H115" s="17">
        <f t="shared" si="35"/>
        <v>0</v>
      </c>
      <c r="I115" s="17">
        <f t="shared" si="35"/>
        <v>0</v>
      </c>
      <c r="J115" s="11">
        <f t="shared" si="22"/>
        <v>4.4999999999999998E-2</v>
      </c>
    </row>
    <row r="116" spans="1:10" ht="15.75" customHeight="1" x14ac:dyDescent="0.2">
      <c r="A116" s="596"/>
      <c r="B116" s="587"/>
      <c r="C116" s="7">
        <v>2015</v>
      </c>
      <c r="D116" s="15">
        <f>E116+F116+G116+H116+I116</f>
        <v>1.4999999999999999E-2</v>
      </c>
      <c r="E116" s="18">
        <f>15/1000</f>
        <v>1.4999999999999999E-2</v>
      </c>
      <c r="F116" s="18">
        <v>0</v>
      </c>
      <c r="G116" s="18">
        <v>0</v>
      </c>
      <c r="H116" s="17">
        <f t="shared" si="35"/>
        <v>0</v>
      </c>
      <c r="I116" s="17">
        <f t="shared" si="35"/>
        <v>0</v>
      </c>
      <c r="J116" s="11">
        <f t="shared" si="22"/>
        <v>1.4999999999999999E-2</v>
      </c>
    </row>
    <row r="117" spans="1:10" ht="15.75" customHeight="1" x14ac:dyDescent="0.2">
      <c r="A117" s="596"/>
      <c r="B117" s="587"/>
      <c r="C117" s="7">
        <v>2016</v>
      </c>
      <c r="D117" s="15">
        <f>E117+F117+G117+H117+I117</f>
        <v>1.4999999999999999E-2</v>
      </c>
      <c r="E117" s="18">
        <f>15/1000</f>
        <v>1.4999999999999999E-2</v>
      </c>
      <c r="F117" s="18">
        <v>0</v>
      </c>
      <c r="G117" s="18">
        <v>0</v>
      </c>
      <c r="H117" s="17">
        <f t="shared" si="35"/>
        <v>0</v>
      </c>
      <c r="I117" s="17">
        <f t="shared" si="35"/>
        <v>0</v>
      </c>
      <c r="J117" s="11">
        <f t="shared" si="22"/>
        <v>1.4999999999999999E-2</v>
      </c>
    </row>
    <row r="118" spans="1:10" ht="15.75" customHeight="1" x14ac:dyDescent="0.2">
      <c r="A118" s="596"/>
      <c r="B118" s="587"/>
      <c r="C118" s="7">
        <v>2017</v>
      </c>
      <c r="D118" s="15">
        <f>E118+F118+G118+H118+I118</f>
        <v>1.4999999999999999E-2</v>
      </c>
      <c r="E118" s="18">
        <f>15/1000</f>
        <v>1.4999999999999999E-2</v>
      </c>
      <c r="F118" s="18">
        <v>0</v>
      </c>
      <c r="G118" s="18">
        <v>0</v>
      </c>
      <c r="H118" s="17">
        <f t="shared" si="35"/>
        <v>0</v>
      </c>
      <c r="I118" s="17">
        <f t="shared" si="35"/>
        <v>0</v>
      </c>
      <c r="J118" s="11">
        <f t="shared" si="22"/>
        <v>1.4999999999999999E-2</v>
      </c>
    </row>
    <row r="119" spans="1:10" x14ac:dyDescent="0.2">
      <c r="A119" s="596" t="s">
        <v>51</v>
      </c>
      <c r="B119" s="614" t="s">
        <v>52</v>
      </c>
      <c r="C119" s="9" t="s">
        <v>198</v>
      </c>
      <c r="D119" s="16">
        <f t="shared" ref="D119:I119" si="36">D120+D121+D122</f>
        <v>0.03</v>
      </c>
      <c r="E119" s="16">
        <f t="shared" si="36"/>
        <v>0.03</v>
      </c>
      <c r="F119" s="16">
        <f t="shared" si="36"/>
        <v>0</v>
      </c>
      <c r="G119" s="16">
        <f t="shared" si="36"/>
        <v>0</v>
      </c>
      <c r="H119" s="17">
        <f t="shared" si="36"/>
        <v>0</v>
      </c>
      <c r="I119" s="17">
        <f t="shared" si="36"/>
        <v>0</v>
      </c>
      <c r="J119" s="11">
        <f t="shared" si="22"/>
        <v>0.03</v>
      </c>
    </row>
    <row r="120" spans="1:10" x14ac:dyDescent="0.2">
      <c r="A120" s="596"/>
      <c r="B120" s="614"/>
      <c r="C120" s="7">
        <v>2015</v>
      </c>
      <c r="D120" s="15">
        <f>E120+F120+G120+H120+I120</f>
        <v>0.01</v>
      </c>
      <c r="E120" s="18">
        <f>10/1000</f>
        <v>0.01</v>
      </c>
      <c r="F120" s="18">
        <v>0</v>
      </c>
      <c r="G120" s="18">
        <v>0</v>
      </c>
      <c r="H120" s="17">
        <v>0</v>
      </c>
      <c r="I120" s="15">
        <v>0</v>
      </c>
      <c r="J120" s="11">
        <f t="shared" si="22"/>
        <v>0.01</v>
      </c>
    </row>
    <row r="121" spans="1:10" x14ac:dyDescent="0.2">
      <c r="A121" s="596"/>
      <c r="B121" s="614"/>
      <c r="C121" s="7">
        <v>2016</v>
      </c>
      <c r="D121" s="15">
        <f>E121+F121+G121+H121+I121</f>
        <v>0.01</v>
      </c>
      <c r="E121" s="18">
        <f>10/1000</f>
        <v>0.01</v>
      </c>
      <c r="F121" s="18">
        <v>0</v>
      </c>
      <c r="G121" s="18">
        <v>0</v>
      </c>
      <c r="H121" s="17">
        <v>0</v>
      </c>
      <c r="I121" s="15">
        <v>0</v>
      </c>
      <c r="J121" s="11">
        <f t="shared" si="22"/>
        <v>0.01</v>
      </c>
    </row>
    <row r="122" spans="1:10" x14ac:dyDescent="0.2">
      <c r="A122" s="596"/>
      <c r="B122" s="614"/>
      <c r="C122" s="7">
        <v>2017</v>
      </c>
      <c r="D122" s="15">
        <f>E122+F122+G122+H122+I122</f>
        <v>0.01</v>
      </c>
      <c r="E122" s="18">
        <f>10/1000</f>
        <v>0.01</v>
      </c>
      <c r="F122" s="18">
        <v>0</v>
      </c>
      <c r="G122" s="18">
        <v>0</v>
      </c>
      <c r="H122" s="17">
        <v>0</v>
      </c>
      <c r="I122" s="15">
        <v>0</v>
      </c>
      <c r="J122" s="11">
        <f t="shared" si="22"/>
        <v>0.01</v>
      </c>
    </row>
    <row r="123" spans="1:10" ht="15.75" customHeight="1" x14ac:dyDescent="0.2">
      <c r="A123" s="596" t="s">
        <v>53</v>
      </c>
      <c r="B123" s="614" t="s">
        <v>54</v>
      </c>
      <c r="C123" s="9" t="s">
        <v>198</v>
      </c>
      <c r="D123" s="16">
        <f t="shared" ref="D123:I123" si="37">D124+D125+D126</f>
        <v>0.33810000000000001</v>
      </c>
      <c r="E123" s="16">
        <f t="shared" si="37"/>
        <v>0.33810000000000001</v>
      </c>
      <c r="F123" s="16">
        <f t="shared" si="37"/>
        <v>0</v>
      </c>
      <c r="G123" s="16">
        <f t="shared" si="37"/>
        <v>0</v>
      </c>
      <c r="H123" s="17">
        <f t="shared" si="37"/>
        <v>0</v>
      </c>
      <c r="I123" s="17">
        <f t="shared" si="37"/>
        <v>0</v>
      </c>
      <c r="J123" s="11">
        <f t="shared" si="22"/>
        <v>0.33810000000000001</v>
      </c>
    </row>
    <row r="124" spans="1:10" ht="15.75" customHeight="1" x14ac:dyDescent="0.2">
      <c r="A124" s="596"/>
      <c r="B124" s="614"/>
      <c r="C124" s="7">
        <v>2015</v>
      </c>
      <c r="D124" s="15">
        <f>E124+F124+G124+H124+I124</f>
        <v>0.1077</v>
      </c>
      <c r="E124" s="18">
        <f>107.7/1000</f>
        <v>0.1077</v>
      </c>
      <c r="F124" s="18">
        <v>0</v>
      </c>
      <c r="G124" s="18">
        <v>0</v>
      </c>
      <c r="H124" s="17">
        <v>0</v>
      </c>
      <c r="I124" s="15">
        <v>0</v>
      </c>
      <c r="J124" s="11">
        <f t="shared" si="22"/>
        <v>0.1077</v>
      </c>
    </row>
    <row r="125" spans="1:10" ht="15.75" customHeight="1" x14ac:dyDescent="0.2">
      <c r="A125" s="596"/>
      <c r="B125" s="614"/>
      <c r="C125" s="7">
        <v>2016</v>
      </c>
      <c r="D125" s="15">
        <f>E125+F125+G125+H125+I125</f>
        <v>0.1128</v>
      </c>
      <c r="E125" s="18">
        <f>112.8/1000</f>
        <v>0.1128</v>
      </c>
      <c r="F125" s="18">
        <v>0</v>
      </c>
      <c r="G125" s="18">
        <v>0</v>
      </c>
      <c r="H125" s="17">
        <v>0</v>
      </c>
      <c r="I125" s="15">
        <v>0</v>
      </c>
      <c r="J125" s="11">
        <f t="shared" si="22"/>
        <v>0.1128</v>
      </c>
    </row>
    <row r="126" spans="1:10" ht="15.75" customHeight="1" x14ac:dyDescent="0.2">
      <c r="A126" s="596"/>
      <c r="B126" s="614"/>
      <c r="C126" s="7">
        <v>2017</v>
      </c>
      <c r="D126" s="15">
        <f>E126+F126+G126+H126+I126</f>
        <v>0.1176</v>
      </c>
      <c r="E126" s="18">
        <f>117.6/1000</f>
        <v>0.1176</v>
      </c>
      <c r="F126" s="18">
        <v>0</v>
      </c>
      <c r="G126" s="18">
        <v>0</v>
      </c>
      <c r="H126" s="17">
        <v>0</v>
      </c>
      <c r="I126" s="15">
        <v>0</v>
      </c>
      <c r="J126" s="11">
        <f t="shared" si="22"/>
        <v>0.1176</v>
      </c>
    </row>
    <row r="127" spans="1:10" ht="15.75" customHeight="1" x14ac:dyDescent="0.2">
      <c r="A127" s="596" t="s">
        <v>55</v>
      </c>
      <c r="B127" s="614" t="s">
        <v>56</v>
      </c>
      <c r="C127" s="9" t="s">
        <v>198</v>
      </c>
      <c r="D127" s="16">
        <f t="shared" ref="D127:I127" si="38">D128+D129+D130</f>
        <v>0.32889999999999997</v>
      </c>
      <c r="E127" s="16">
        <f t="shared" si="38"/>
        <v>0.32889999999999997</v>
      </c>
      <c r="F127" s="16">
        <f t="shared" si="38"/>
        <v>0</v>
      </c>
      <c r="G127" s="16">
        <f t="shared" si="38"/>
        <v>0</v>
      </c>
      <c r="H127" s="17">
        <f t="shared" si="38"/>
        <v>0</v>
      </c>
      <c r="I127" s="17">
        <f t="shared" si="38"/>
        <v>0</v>
      </c>
      <c r="J127" s="11">
        <f t="shared" si="22"/>
        <v>0.32889999999999997</v>
      </c>
    </row>
    <row r="128" spans="1:10" ht="15.75" customHeight="1" x14ac:dyDescent="0.2">
      <c r="A128" s="596"/>
      <c r="B128" s="614"/>
      <c r="C128" s="7">
        <v>2015</v>
      </c>
      <c r="D128" s="15">
        <f>E128+F128+G128+H128+I128</f>
        <v>0.1045</v>
      </c>
      <c r="E128" s="18">
        <f>104.5/1000</f>
        <v>0.1045</v>
      </c>
      <c r="F128" s="18">
        <v>0</v>
      </c>
      <c r="G128" s="18">
        <v>0</v>
      </c>
      <c r="H128" s="17">
        <v>0</v>
      </c>
      <c r="I128" s="15">
        <v>0</v>
      </c>
      <c r="J128" s="11">
        <f t="shared" si="22"/>
        <v>0.1045</v>
      </c>
    </row>
    <row r="129" spans="1:10" ht="15.75" customHeight="1" x14ac:dyDescent="0.2">
      <c r="A129" s="596"/>
      <c r="B129" s="614"/>
      <c r="C129" s="7">
        <v>2016</v>
      </c>
      <c r="D129" s="15">
        <f>E129+F129+G129+H129+I129</f>
        <v>0.10979999999999999</v>
      </c>
      <c r="E129" s="18">
        <f>109.8/1000</f>
        <v>0.10979999999999999</v>
      </c>
      <c r="F129" s="18">
        <v>0</v>
      </c>
      <c r="G129" s="18">
        <v>0</v>
      </c>
      <c r="H129" s="17">
        <v>0</v>
      </c>
      <c r="I129" s="15">
        <v>0</v>
      </c>
      <c r="J129" s="11">
        <f t="shared" si="22"/>
        <v>0.10979999999999999</v>
      </c>
    </row>
    <row r="130" spans="1:10" ht="15.75" customHeight="1" x14ac:dyDescent="0.2">
      <c r="A130" s="596"/>
      <c r="B130" s="614"/>
      <c r="C130" s="7">
        <v>2017</v>
      </c>
      <c r="D130" s="15">
        <f>E130+F130+G130+H130+I130</f>
        <v>0.11459999999999999</v>
      </c>
      <c r="E130" s="18">
        <f>114.6/1000</f>
        <v>0.11459999999999999</v>
      </c>
      <c r="F130" s="18">
        <v>0</v>
      </c>
      <c r="G130" s="18">
        <v>0</v>
      </c>
      <c r="H130" s="17">
        <v>0</v>
      </c>
      <c r="I130" s="15">
        <v>0</v>
      </c>
      <c r="J130" s="11">
        <f t="shared" si="22"/>
        <v>0.11459999999999999</v>
      </c>
    </row>
    <row r="131" spans="1:10" ht="15.75" customHeight="1" x14ac:dyDescent="0.2">
      <c r="A131" s="596" t="s">
        <v>57</v>
      </c>
      <c r="B131" s="614" t="s">
        <v>58</v>
      </c>
      <c r="C131" s="9" t="s">
        <v>198</v>
      </c>
      <c r="D131" s="16">
        <f t="shared" ref="D131:I131" si="39">D132+D133+D134</f>
        <v>9.1999999999999998E-3</v>
      </c>
      <c r="E131" s="16">
        <f t="shared" si="39"/>
        <v>9.1999999999999998E-3</v>
      </c>
      <c r="F131" s="16">
        <f t="shared" si="39"/>
        <v>0</v>
      </c>
      <c r="G131" s="16">
        <f t="shared" si="39"/>
        <v>0</v>
      </c>
      <c r="H131" s="17">
        <f t="shared" si="39"/>
        <v>0</v>
      </c>
      <c r="I131" s="17">
        <f t="shared" si="39"/>
        <v>0</v>
      </c>
      <c r="J131" s="11">
        <f t="shared" si="22"/>
        <v>9.1999999999999998E-3</v>
      </c>
    </row>
    <row r="132" spans="1:10" ht="15.75" customHeight="1" x14ac:dyDescent="0.2">
      <c r="A132" s="596"/>
      <c r="B132" s="614"/>
      <c r="C132" s="7">
        <v>2015</v>
      </c>
      <c r="D132" s="15">
        <f>E132+F132+G132+H132+I132</f>
        <v>3.2000000000000002E-3</v>
      </c>
      <c r="E132" s="18">
        <f>3.2/1000</f>
        <v>3.2000000000000002E-3</v>
      </c>
      <c r="F132" s="18">
        <v>0</v>
      </c>
      <c r="G132" s="18">
        <v>0</v>
      </c>
      <c r="H132" s="17">
        <v>0</v>
      </c>
      <c r="I132" s="15">
        <v>0</v>
      </c>
      <c r="J132" s="11">
        <f t="shared" si="22"/>
        <v>3.2000000000000002E-3</v>
      </c>
    </row>
    <row r="133" spans="1:10" ht="15.75" customHeight="1" x14ac:dyDescent="0.2">
      <c r="A133" s="596"/>
      <c r="B133" s="614"/>
      <c r="C133" s="7">
        <v>2016</v>
      </c>
      <c r="D133" s="15">
        <f>E133+F133+G133+H133+I133</f>
        <v>3.0000000000000001E-3</v>
      </c>
      <c r="E133" s="18">
        <f>3/1000</f>
        <v>3.0000000000000001E-3</v>
      </c>
      <c r="F133" s="18">
        <v>0</v>
      </c>
      <c r="G133" s="18">
        <v>0</v>
      </c>
      <c r="H133" s="17">
        <v>0</v>
      </c>
      <c r="I133" s="15">
        <v>0</v>
      </c>
      <c r="J133" s="11">
        <f t="shared" si="22"/>
        <v>3.0000000000000001E-3</v>
      </c>
    </row>
    <row r="134" spans="1:10" ht="15.75" customHeight="1" x14ac:dyDescent="0.2">
      <c r="A134" s="596"/>
      <c r="B134" s="614"/>
      <c r="C134" s="7">
        <v>2017</v>
      </c>
      <c r="D134" s="15">
        <f>E134+F134+G134+H134+I134</f>
        <v>3.0000000000000001E-3</v>
      </c>
      <c r="E134" s="18">
        <f>3/1000</f>
        <v>3.0000000000000001E-3</v>
      </c>
      <c r="F134" s="18">
        <v>0</v>
      </c>
      <c r="G134" s="18">
        <v>0</v>
      </c>
      <c r="H134" s="17">
        <v>0</v>
      </c>
      <c r="I134" s="15">
        <v>0</v>
      </c>
      <c r="J134" s="11">
        <f t="shared" si="22"/>
        <v>3.0000000000000001E-3</v>
      </c>
    </row>
    <row r="135" spans="1:10" ht="15.75" customHeight="1" x14ac:dyDescent="0.2">
      <c r="A135" s="596" t="s">
        <v>59</v>
      </c>
      <c r="B135" s="593" t="s">
        <v>60</v>
      </c>
      <c r="C135" s="9" t="s">
        <v>198</v>
      </c>
      <c r="D135" s="16">
        <f t="shared" ref="D135:I135" si="40">D136+D137+D138</f>
        <v>0</v>
      </c>
      <c r="E135" s="16">
        <f t="shared" si="40"/>
        <v>0</v>
      </c>
      <c r="F135" s="16">
        <f t="shared" si="40"/>
        <v>0</v>
      </c>
      <c r="G135" s="16">
        <f t="shared" si="40"/>
        <v>0</v>
      </c>
      <c r="H135" s="17">
        <f t="shared" si="40"/>
        <v>0</v>
      </c>
      <c r="I135" s="17">
        <f t="shared" si="40"/>
        <v>0</v>
      </c>
      <c r="J135" s="11">
        <f t="shared" si="22"/>
        <v>0</v>
      </c>
    </row>
    <row r="136" spans="1:10" ht="15.75" customHeight="1" x14ac:dyDescent="0.2">
      <c r="A136" s="596"/>
      <c r="B136" s="593"/>
      <c r="C136" s="7">
        <v>2015</v>
      </c>
      <c r="D136" s="15">
        <f>E136+F136+G136+H136+I136</f>
        <v>0</v>
      </c>
      <c r="E136" s="18">
        <v>0</v>
      </c>
      <c r="F136" s="18">
        <v>0</v>
      </c>
      <c r="G136" s="18">
        <v>0</v>
      </c>
      <c r="H136" s="17">
        <v>0</v>
      </c>
      <c r="I136" s="15">
        <v>0</v>
      </c>
      <c r="J136" s="11">
        <f t="shared" si="22"/>
        <v>0</v>
      </c>
    </row>
    <row r="137" spans="1:10" ht="15.75" customHeight="1" x14ac:dyDescent="0.2">
      <c r="A137" s="596"/>
      <c r="B137" s="593"/>
      <c r="C137" s="7">
        <v>2016</v>
      </c>
      <c r="D137" s="15">
        <f>E137+F137+G137+H137+I137</f>
        <v>0</v>
      </c>
      <c r="E137" s="18">
        <v>0</v>
      </c>
      <c r="F137" s="18">
        <v>0</v>
      </c>
      <c r="G137" s="18">
        <v>0</v>
      </c>
      <c r="H137" s="17">
        <v>0</v>
      </c>
      <c r="I137" s="15">
        <v>0</v>
      </c>
      <c r="J137" s="11">
        <f t="shared" si="22"/>
        <v>0</v>
      </c>
    </row>
    <row r="138" spans="1:10" ht="15.75" customHeight="1" x14ac:dyDescent="0.2">
      <c r="A138" s="596"/>
      <c r="B138" s="593"/>
      <c r="C138" s="7">
        <v>2017</v>
      </c>
      <c r="D138" s="15">
        <f>E138+F138+G138+H138+I138</f>
        <v>0</v>
      </c>
      <c r="E138" s="18">
        <v>0</v>
      </c>
      <c r="F138" s="18">
        <v>0</v>
      </c>
      <c r="G138" s="18">
        <v>0</v>
      </c>
      <c r="H138" s="17">
        <v>0</v>
      </c>
      <c r="I138" s="15">
        <v>0</v>
      </c>
      <c r="J138" s="11">
        <f t="shared" si="22"/>
        <v>0</v>
      </c>
    </row>
    <row r="139" spans="1:10" ht="15.75" customHeight="1" x14ac:dyDescent="0.2">
      <c r="A139" s="596" t="s">
        <v>61</v>
      </c>
      <c r="B139" s="614" t="s">
        <v>62</v>
      </c>
      <c r="C139" s="9" t="s">
        <v>198</v>
      </c>
      <c r="D139" s="16">
        <f t="shared" ref="D139:I139" si="41">D140+D141+D142</f>
        <v>8.5999999999999993E-2</v>
      </c>
      <c r="E139" s="16">
        <f t="shared" si="41"/>
        <v>8.5999999999999993E-2</v>
      </c>
      <c r="F139" s="16">
        <f t="shared" si="41"/>
        <v>0</v>
      </c>
      <c r="G139" s="16">
        <f t="shared" si="41"/>
        <v>0</v>
      </c>
      <c r="H139" s="17">
        <f t="shared" si="41"/>
        <v>0</v>
      </c>
      <c r="I139" s="17">
        <f t="shared" si="41"/>
        <v>0</v>
      </c>
      <c r="J139" s="11">
        <f t="shared" si="22"/>
        <v>8.5999999999999993E-2</v>
      </c>
    </row>
    <row r="140" spans="1:10" ht="15.75" customHeight="1" x14ac:dyDescent="0.2">
      <c r="A140" s="596"/>
      <c r="B140" s="614"/>
      <c r="C140" s="7">
        <v>2015</v>
      </c>
      <c r="D140" s="15">
        <f>E140+F140+G140+H140+I140</f>
        <v>2.9600000000000001E-2</v>
      </c>
      <c r="E140" s="18">
        <f>29.6/1000</f>
        <v>2.9600000000000001E-2</v>
      </c>
      <c r="F140" s="18">
        <v>0</v>
      </c>
      <c r="G140" s="18">
        <v>0</v>
      </c>
      <c r="H140" s="17">
        <v>0</v>
      </c>
      <c r="I140" s="15">
        <v>0</v>
      </c>
      <c r="J140" s="11">
        <f t="shared" si="22"/>
        <v>2.9600000000000001E-2</v>
      </c>
    </row>
    <row r="141" spans="1:10" ht="15.75" customHeight="1" x14ac:dyDescent="0.2">
      <c r="A141" s="596"/>
      <c r="B141" s="614"/>
      <c r="C141" s="7">
        <v>2016</v>
      </c>
      <c r="D141" s="15">
        <f>E141+F141+G141+H141+I141</f>
        <v>2.7E-2</v>
      </c>
      <c r="E141" s="18">
        <f>27/1000</f>
        <v>2.7E-2</v>
      </c>
      <c r="F141" s="18">
        <v>0</v>
      </c>
      <c r="G141" s="18">
        <v>0</v>
      </c>
      <c r="H141" s="17">
        <v>0</v>
      </c>
      <c r="I141" s="15">
        <v>0</v>
      </c>
      <c r="J141" s="11">
        <f t="shared" si="22"/>
        <v>2.7E-2</v>
      </c>
    </row>
    <row r="142" spans="1:10" ht="15.75" customHeight="1" x14ac:dyDescent="0.2">
      <c r="A142" s="596"/>
      <c r="B142" s="614"/>
      <c r="C142" s="7">
        <v>2017</v>
      </c>
      <c r="D142" s="15">
        <f>E142+F142+G142+H142+I142</f>
        <v>2.9399999999999999E-2</v>
      </c>
      <c r="E142" s="18">
        <f>29.4/1000</f>
        <v>2.9399999999999999E-2</v>
      </c>
      <c r="F142" s="18">
        <v>0</v>
      </c>
      <c r="G142" s="18">
        <v>0</v>
      </c>
      <c r="H142" s="17">
        <v>0</v>
      </c>
      <c r="I142" s="15">
        <v>0</v>
      </c>
      <c r="J142" s="11">
        <f t="shared" si="22"/>
        <v>2.9399999999999999E-2</v>
      </c>
    </row>
    <row r="143" spans="1:10" x14ac:dyDescent="0.2">
      <c r="A143" s="596" t="s">
        <v>63</v>
      </c>
      <c r="B143" s="614" t="s">
        <v>64</v>
      </c>
      <c r="C143" s="9" t="s">
        <v>198</v>
      </c>
      <c r="D143" s="16">
        <f t="shared" ref="D143:I143" si="42">D144+D145+D146</f>
        <v>1.6E-2</v>
      </c>
      <c r="E143" s="16">
        <f t="shared" si="42"/>
        <v>1.6E-2</v>
      </c>
      <c r="F143" s="16">
        <f t="shared" si="42"/>
        <v>0</v>
      </c>
      <c r="G143" s="16">
        <f t="shared" si="42"/>
        <v>0</v>
      </c>
      <c r="H143" s="17">
        <f t="shared" si="42"/>
        <v>0</v>
      </c>
      <c r="I143" s="17">
        <f t="shared" si="42"/>
        <v>0</v>
      </c>
      <c r="J143" s="11">
        <f t="shared" si="22"/>
        <v>1.6E-2</v>
      </c>
    </row>
    <row r="144" spans="1:10" x14ac:dyDescent="0.2">
      <c r="A144" s="596"/>
      <c r="B144" s="614"/>
      <c r="C144" s="7">
        <v>2015</v>
      </c>
      <c r="D144" s="15">
        <f>E144+F144+G144+H144+I144</f>
        <v>6.0000000000000001E-3</v>
      </c>
      <c r="E144" s="18">
        <f>6/1000</f>
        <v>6.0000000000000001E-3</v>
      </c>
      <c r="F144" s="18">
        <v>0</v>
      </c>
      <c r="G144" s="18">
        <v>0</v>
      </c>
      <c r="H144" s="17">
        <v>0</v>
      </c>
      <c r="I144" s="15">
        <v>0</v>
      </c>
      <c r="J144" s="11">
        <f t="shared" ref="J144:J207" si="43">SUM(E144:I144)</f>
        <v>6.0000000000000001E-3</v>
      </c>
    </row>
    <row r="145" spans="1:10" x14ac:dyDescent="0.2">
      <c r="A145" s="596"/>
      <c r="B145" s="614"/>
      <c r="C145" s="7">
        <v>2016</v>
      </c>
      <c r="D145" s="15">
        <f>E145+F145+G145+H145+I145</f>
        <v>4.0000000000000001E-3</v>
      </c>
      <c r="E145" s="18">
        <f>4/1000</f>
        <v>4.0000000000000001E-3</v>
      </c>
      <c r="F145" s="18">
        <v>0</v>
      </c>
      <c r="G145" s="18">
        <v>0</v>
      </c>
      <c r="H145" s="17">
        <v>0</v>
      </c>
      <c r="I145" s="15">
        <v>0</v>
      </c>
      <c r="J145" s="11">
        <f t="shared" si="43"/>
        <v>4.0000000000000001E-3</v>
      </c>
    </row>
    <row r="146" spans="1:10" x14ac:dyDescent="0.2">
      <c r="A146" s="596"/>
      <c r="B146" s="614"/>
      <c r="C146" s="7">
        <v>2017</v>
      </c>
      <c r="D146" s="15">
        <f>E146+F146+G146+H146+I146</f>
        <v>6.0000000000000001E-3</v>
      </c>
      <c r="E146" s="18">
        <f>6/1000</f>
        <v>6.0000000000000001E-3</v>
      </c>
      <c r="F146" s="18">
        <v>0</v>
      </c>
      <c r="G146" s="18">
        <v>0</v>
      </c>
      <c r="H146" s="17">
        <v>0</v>
      </c>
      <c r="I146" s="15">
        <v>0</v>
      </c>
      <c r="J146" s="11">
        <f t="shared" si="43"/>
        <v>6.0000000000000001E-3</v>
      </c>
    </row>
    <row r="147" spans="1:10" ht="15.75" customHeight="1" x14ac:dyDescent="0.2">
      <c r="A147" s="596" t="s">
        <v>65</v>
      </c>
      <c r="B147" s="614" t="s">
        <v>66</v>
      </c>
      <c r="C147" s="9" t="s">
        <v>198</v>
      </c>
      <c r="D147" s="16">
        <f t="shared" ref="D147:I147" si="44">D148+D149+D150</f>
        <v>1.3999999999999999E-2</v>
      </c>
      <c r="E147" s="16">
        <f t="shared" si="44"/>
        <v>1.3999999999999999E-2</v>
      </c>
      <c r="F147" s="16">
        <f t="shared" si="44"/>
        <v>0</v>
      </c>
      <c r="G147" s="16">
        <f t="shared" si="44"/>
        <v>0</v>
      </c>
      <c r="H147" s="17">
        <f t="shared" si="44"/>
        <v>0</v>
      </c>
      <c r="I147" s="17">
        <f t="shared" si="44"/>
        <v>0</v>
      </c>
      <c r="J147" s="11">
        <f t="shared" si="43"/>
        <v>1.3999999999999999E-2</v>
      </c>
    </row>
    <row r="148" spans="1:10" ht="15.75" customHeight="1" x14ac:dyDescent="0.2">
      <c r="A148" s="596"/>
      <c r="B148" s="614"/>
      <c r="C148" s="7">
        <v>2015</v>
      </c>
      <c r="D148" s="15">
        <f>E148+F148+G148+H148+I148</f>
        <v>5.0000000000000001E-3</v>
      </c>
      <c r="E148" s="18">
        <f>5/1000</f>
        <v>5.0000000000000001E-3</v>
      </c>
      <c r="F148" s="18">
        <v>0</v>
      </c>
      <c r="G148" s="18">
        <v>0</v>
      </c>
      <c r="H148" s="17">
        <v>0</v>
      </c>
      <c r="I148" s="17">
        <v>0</v>
      </c>
      <c r="J148" s="11">
        <f t="shared" si="43"/>
        <v>5.0000000000000001E-3</v>
      </c>
    </row>
    <row r="149" spans="1:10" ht="15.75" customHeight="1" x14ac:dyDescent="0.2">
      <c r="A149" s="596"/>
      <c r="B149" s="614"/>
      <c r="C149" s="7">
        <v>2016</v>
      </c>
      <c r="D149" s="15">
        <f>E149+F149+G149+H149+I149</f>
        <v>4.3E-3</v>
      </c>
      <c r="E149" s="18">
        <f>4.3/1000</f>
        <v>4.3E-3</v>
      </c>
      <c r="F149" s="18">
        <v>0</v>
      </c>
      <c r="G149" s="18">
        <v>0</v>
      </c>
      <c r="H149" s="17">
        <v>0</v>
      </c>
      <c r="I149" s="17">
        <v>0</v>
      </c>
      <c r="J149" s="11">
        <f t="shared" si="43"/>
        <v>4.3E-3</v>
      </c>
    </row>
    <row r="150" spans="1:10" ht="15.75" customHeight="1" x14ac:dyDescent="0.2">
      <c r="A150" s="596"/>
      <c r="B150" s="614"/>
      <c r="C150" s="7">
        <v>2017</v>
      </c>
      <c r="D150" s="15">
        <f>E150+F150+G150+H150+I150</f>
        <v>4.7000000000000002E-3</v>
      </c>
      <c r="E150" s="18">
        <f>4.7/1000</f>
        <v>4.7000000000000002E-3</v>
      </c>
      <c r="F150" s="18">
        <v>0</v>
      </c>
      <c r="G150" s="18">
        <v>0</v>
      </c>
      <c r="H150" s="17">
        <v>0</v>
      </c>
      <c r="I150" s="17">
        <v>0</v>
      </c>
      <c r="J150" s="11">
        <f t="shared" si="43"/>
        <v>4.7000000000000002E-3</v>
      </c>
    </row>
    <row r="151" spans="1:10" x14ac:dyDescent="0.2">
      <c r="A151" s="596" t="s">
        <v>67</v>
      </c>
      <c r="B151" s="617" t="s">
        <v>68</v>
      </c>
      <c r="C151" s="9" t="s">
        <v>198</v>
      </c>
      <c r="D151" s="16">
        <f t="shared" ref="D151:I151" si="45">D152+D153+D154</f>
        <v>4.4999999999999998E-2</v>
      </c>
      <c r="E151" s="16">
        <f t="shared" si="45"/>
        <v>4.4999999999999998E-2</v>
      </c>
      <c r="F151" s="16">
        <f t="shared" si="45"/>
        <v>0</v>
      </c>
      <c r="G151" s="16">
        <f t="shared" si="45"/>
        <v>0</v>
      </c>
      <c r="H151" s="17">
        <f t="shared" si="45"/>
        <v>0</v>
      </c>
      <c r="I151" s="17">
        <f t="shared" si="45"/>
        <v>0</v>
      </c>
      <c r="J151" s="11">
        <f t="shared" si="43"/>
        <v>4.4999999999999998E-2</v>
      </c>
    </row>
    <row r="152" spans="1:10" x14ac:dyDescent="0.2">
      <c r="A152" s="596"/>
      <c r="B152" s="617"/>
      <c r="C152" s="7">
        <v>2015</v>
      </c>
      <c r="D152" s="15">
        <f>E152+F152+G152+H152+I152</f>
        <v>1.4999999999999999E-2</v>
      </c>
      <c r="E152" s="18">
        <f>15/1000</f>
        <v>1.4999999999999999E-2</v>
      </c>
      <c r="F152" s="18">
        <v>0</v>
      </c>
      <c r="G152" s="18">
        <v>0</v>
      </c>
      <c r="H152" s="17">
        <v>0</v>
      </c>
      <c r="I152" s="17">
        <v>0</v>
      </c>
      <c r="J152" s="11">
        <f t="shared" si="43"/>
        <v>1.4999999999999999E-2</v>
      </c>
    </row>
    <row r="153" spans="1:10" x14ac:dyDescent="0.2">
      <c r="A153" s="596"/>
      <c r="B153" s="617"/>
      <c r="C153" s="7">
        <v>2016</v>
      </c>
      <c r="D153" s="15">
        <f>E153+F153+G153+H153+I153</f>
        <v>1.4999999999999999E-2</v>
      </c>
      <c r="E153" s="18">
        <f>15/1000</f>
        <v>1.4999999999999999E-2</v>
      </c>
      <c r="F153" s="18">
        <v>0</v>
      </c>
      <c r="G153" s="18">
        <v>0</v>
      </c>
      <c r="H153" s="17">
        <v>0</v>
      </c>
      <c r="I153" s="17">
        <v>0</v>
      </c>
      <c r="J153" s="11">
        <f t="shared" si="43"/>
        <v>1.4999999999999999E-2</v>
      </c>
    </row>
    <row r="154" spans="1:10" x14ac:dyDescent="0.2">
      <c r="A154" s="596"/>
      <c r="B154" s="617"/>
      <c r="C154" s="7">
        <v>2017</v>
      </c>
      <c r="D154" s="15">
        <f>E154+F154+G154+H154+I154</f>
        <v>1.4999999999999999E-2</v>
      </c>
      <c r="E154" s="18">
        <f>15/1000</f>
        <v>1.4999999999999999E-2</v>
      </c>
      <c r="F154" s="18">
        <v>0</v>
      </c>
      <c r="G154" s="18">
        <v>0</v>
      </c>
      <c r="H154" s="17">
        <v>0</v>
      </c>
      <c r="I154" s="17">
        <v>0</v>
      </c>
      <c r="J154" s="11">
        <f t="shared" si="43"/>
        <v>1.4999999999999999E-2</v>
      </c>
    </row>
    <row r="155" spans="1:10" ht="15.75" customHeight="1" x14ac:dyDescent="0.2">
      <c r="A155" s="596" t="s">
        <v>69</v>
      </c>
      <c r="B155" s="617" t="s">
        <v>70</v>
      </c>
      <c r="C155" s="9" t="s">
        <v>198</v>
      </c>
      <c r="D155" s="16">
        <f t="shared" ref="D155:I155" si="46">D156+D157+D158</f>
        <v>1.0999999999999999E-2</v>
      </c>
      <c r="E155" s="16">
        <f t="shared" si="46"/>
        <v>1.0999999999999999E-2</v>
      </c>
      <c r="F155" s="16">
        <f t="shared" si="46"/>
        <v>0</v>
      </c>
      <c r="G155" s="16">
        <f t="shared" si="46"/>
        <v>0</v>
      </c>
      <c r="H155" s="17">
        <f t="shared" si="46"/>
        <v>0</v>
      </c>
      <c r="I155" s="17">
        <f t="shared" si="46"/>
        <v>0</v>
      </c>
      <c r="J155" s="11">
        <f t="shared" si="43"/>
        <v>1.0999999999999999E-2</v>
      </c>
    </row>
    <row r="156" spans="1:10" x14ac:dyDescent="0.2">
      <c r="A156" s="596"/>
      <c r="B156" s="617"/>
      <c r="C156" s="7">
        <v>2015</v>
      </c>
      <c r="D156" s="15">
        <f>E156+F156+G156+H156+I156</f>
        <v>3.5999999999999999E-3</v>
      </c>
      <c r="E156" s="18">
        <f>3.6/1000</f>
        <v>3.5999999999999999E-3</v>
      </c>
      <c r="F156" s="18">
        <v>0</v>
      </c>
      <c r="G156" s="18">
        <v>0</v>
      </c>
      <c r="H156" s="17">
        <v>0</v>
      </c>
      <c r="I156" s="17">
        <v>0</v>
      </c>
      <c r="J156" s="11">
        <f t="shared" si="43"/>
        <v>3.5999999999999999E-3</v>
      </c>
    </row>
    <row r="157" spans="1:10" x14ac:dyDescent="0.2">
      <c r="A157" s="596"/>
      <c r="B157" s="617"/>
      <c r="C157" s="7">
        <v>2016</v>
      </c>
      <c r="D157" s="15">
        <f>E157+F157+G157+H157+I157</f>
        <v>3.7000000000000002E-3</v>
      </c>
      <c r="E157" s="18">
        <f>3.7/1000</f>
        <v>3.7000000000000002E-3</v>
      </c>
      <c r="F157" s="18">
        <v>0</v>
      </c>
      <c r="G157" s="18">
        <v>0</v>
      </c>
      <c r="H157" s="17">
        <v>0</v>
      </c>
      <c r="I157" s="17">
        <v>0</v>
      </c>
      <c r="J157" s="11">
        <f t="shared" si="43"/>
        <v>3.7000000000000002E-3</v>
      </c>
    </row>
    <row r="158" spans="1:10" x14ac:dyDescent="0.2">
      <c r="A158" s="596"/>
      <c r="B158" s="617"/>
      <c r="C158" s="7">
        <v>2017</v>
      </c>
      <c r="D158" s="15">
        <f>E158+F158+G158+H158+I158</f>
        <v>3.7000000000000002E-3</v>
      </c>
      <c r="E158" s="18">
        <f>3.7/1000</f>
        <v>3.7000000000000002E-3</v>
      </c>
      <c r="F158" s="18">
        <v>0</v>
      </c>
      <c r="G158" s="18">
        <v>0</v>
      </c>
      <c r="H158" s="17">
        <v>0</v>
      </c>
      <c r="I158" s="17">
        <v>0</v>
      </c>
      <c r="J158" s="11">
        <f t="shared" si="43"/>
        <v>3.7000000000000002E-3</v>
      </c>
    </row>
    <row r="159" spans="1:10" x14ac:dyDescent="0.2">
      <c r="A159" s="596" t="s">
        <v>71</v>
      </c>
      <c r="B159" s="617" t="s">
        <v>72</v>
      </c>
      <c r="C159" s="9" t="s">
        <v>198</v>
      </c>
      <c r="D159" s="16">
        <f t="shared" ref="D159:I159" si="47">D160+D161+D162</f>
        <v>7.9000000000000001E-2</v>
      </c>
      <c r="E159" s="16">
        <f t="shared" si="47"/>
        <v>7.9000000000000001E-2</v>
      </c>
      <c r="F159" s="16">
        <f t="shared" si="47"/>
        <v>0</v>
      </c>
      <c r="G159" s="16">
        <f t="shared" si="47"/>
        <v>0</v>
      </c>
      <c r="H159" s="17">
        <f t="shared" si="47"/>
        <v>0</v>
      </c>
      <c r="I159" s="17">
        <f t="shared" si="47"/>
        <v>0</v>
      </c>
      <c r="J159" s="11">
        <f t="shared" si="43"/>
        <v>7.9000000000000001E-2</v>
      </c>
    </row>
    <row r="160" spans="1:10" x14ac:dyDescent="0.2">
      <c r="A160" s="596"/>
      <c r="B160" s="617"/>
      <c r="C160" s="7">
        <v>2015</v>
      </c>
      <c r="D160" s="15">
        <f>E160+F160+G160+H160+I160</f>
        <v>2.3E-2</v>
      </c>
      <c r="E160" s="18">
        <f>23/1000</f>
        <v>2.3E-2</v>
      </c>
      <c r="F160" s="18">
        <v>0</v>
      </c>
      <c r="G160" s="18">
        <v>0</v>
      </c>
      <c r="H160" s="17">
        <v>0</v>
      </c>
      <c r="I160" s="17">
        <v>0</v>
      </c>
      <c r="J160" s="11">
        <f t="shared" si="43"/>
        <v>2.3E-2</v>
      </c>
    </row>
    <row r="161" spans="1:10" x14ac:dyDescent="0.2">
      <c r="A161" s="596"/>
      <c r="B161" s="617"/>
      <c r="C161" s="7">
        <v>2016</v>
      </c>
      <c r="D161" s="15">
        <f>E161+F161+G161+H161+I161</f>
        <v>2.8000000000000001E-2</v>
      </c>
      <c r="E161" s="18">
        <f>28/1000</f>
        <v>2.8000000000000001E-2</v>
      </c>
      <c r="F161" s="18">
        <v>0</v>
      </c>
      <c r="G161" s="18">
        <v>0</v>
      </c>
      <c r="H161" s="17">
        <v>0</v>
      </c>
      <c r="I161" s="17">
        <v>0</v>
      </c>
      <c r="J161" s="11">
        <f t="shared" si="43"/>
        <v>2.8000000000000001E-2</v>
      </c>
    </row>
    <row r="162" spans="1:10" x14ac:dyDescent="0.2">
      <c r="A162" s="596"/>
      <c r="B162" s="617"/>
      <c r="C162" s="7">
        <v>2017</v>
      </c>
      <c r="D162" s="15">
        <f>E162+F162+G162+H162+I162</f>
        <v>2.8000000000000001E-2</v>
      </c>
      <c r="E162" s="18">
        <f>28/1000</f>
        <v>2.8000000000000001E-2</v>
      </c>
      <c r="F162" s="18">
        <v>0</v>
      </c>
      <c r="G162" s="18">
        <v>0</v>
      </c>
      <c r="H162" s="17">
        <v>0</v>
      </c>
      <c r="I162" s="17">
        <v>0</v>
      </c>
      <c r="J162" s="11">
        <f t="shared" si="43"/>
        <v>2.8000000000000001E-2</v>
      </c>
    </row>
    <row r="163" spans="1:10" ht="15.75" customHeight="1" x14ac:dyDescent="0.2">
      <c r="A163" s="596" t="s">
        <v>73</v>
      </c>
      <c r="B163" s="614" t="s">
        <v>74</v>
      </c>
      <c r="C163" s="9" t="s">
        <v>198</v>
      </c>
      <c r="D163" s="16">
        <f t="shared" ref="D163:I163" si="48">D164+D165+D166</f>
        <v>2.5000000000000001E-2</v>
      </c>
      <c r="E163" s="16">
        <f t="shared" si="48"/>
        <v>2.5000000000000001E-2</v>
      </c>
      <c r="F163" s="16">
        <f t="shared" si="48"/>
        <v>0</v>
      </c>
      <c r="G163" s="16">
        <f t="shared" si="48"/>
        <v>0</v>
      </c>
      <c r="H163" s="17">
        <f t="shared" si="48"/>
        <v>0</v>
      </c>
      <c r="I163" s="17">
        <f t="shared" si="48"/>
        <v>0</v>
      </c>
      <c r="J163" s="11">
        <f t="shared" si="43"/>
        <v>2.5000000000000001E-2</v>
      </c>
    </row>
    <row r="164" spans="1:10" ht="15.75" customHeight="1" x14ac:dyDescent="0.2">
      <c r="A164" s="596"/>
      <c r="B164" s="614"/>
      <c r="C164" s="7">
        <v>2015</v>
      </c>
      <c r="D164" s="15">
        <f>E164+F164+G164+H164+I164</f>
        <v>5.0000000000000001E-3</v>
      </c>
      <c r="E164" s="18">
        <f>5/1000</f>
        <v>5.0000000000000001E-3</v>
      </c>
      <c r="F164" s="18">
        <v>0</v>
      </c>
      <c r="G164" s="18">
        <v>0</v>
      </c>
      <c r="H164" s="17">
        <v>0</v>
      </c>
      <c r="I164" s="17">
        <v>0</v>
      </c>
      <c r="J164" s="11">
        <f t="shared" si="43"/>
        <v>5.0000000000000001E-3</v>
      </c>
    </row>
    <row r="165" spans="1:10" x14ac:dyDescent="0.2">
      <c r="A165" s="596"/>
      <c r="B165" s="614"/>
      <c r="C165" s="7">
        <v>2016</v>
      </c>
      <c r="D165" s="15">
        <f>E165+F165+G165+H165+I165</f>
        <v>0.01</v>
      </c>
      <c r="E165" s="18">
        <f>10/1000</f>
        <v>0.01</v>
      </c>
      <c r="F165" s="18">
        <v>0</v>
      </c>
      <c r="G165" s="18">
        <v>0</v>
      </c>
      <c r="H165" s="17">
        <v>0</v>
      </c>
      <c r="I165" s="17">
        <v>0</v>
      </c>
      <c r="J165" s="11">
        <f t="shared" si="43"/>
        <v>0.01</v>
      </c>
    </row>
    <row r="166" spans="1:10" x14ac:dyDescent="0.2">
      <c r="A166" s="596"/>
      <c r="B166" s="614"/>
      <c r="C166" s="7">
        <v>2017</v>
      </c>
      <c r="D166" s="15">
        <f>E166+F166+G166+H166+I166</f>
        <v>0.01</v>
      </c>
      <c r="E166" s="18">
        <f>10/1000</f>
        <v>0.01</v>
      </c>
      <c r="F166" s="18">
        <v>0</v>
      </c>
      <c r="G166" s="18">
        <v>0</v>
      </c>
      <c r="H166" s="17">
        <v>0</v>
      </c>
      <c r="I166" s="17">
        <v>0</v>
      </c>
      <c r="J166" s="11">
        <f t="shared" si="43"/>
        <v>0.01</v>
      </c>
    </row>
    <row r="167" spans="1:10" x14ac:dyDescent="0.2">
      <c r="A167" s="596" t="s">
        <v>75</v>
      </c>
      <c r="B167" s="614" t="s">
        <v>76</v>
      </c>
      <c r="C167" s="9" t="s">
        <v>198</v>
      </c>
      <c r="D167" s="16">
        <f t="shared" ref="D167:I167" si="49">D168+D169+D170</f>
        <v>0.03</v>
      </c>
      <c r="E167" s="16">
        <f t="shared" si="49"/>
        <v>0.03</v>
      </c>
      <c r="F167" s="16">
        <f t="shared" si="49"/>
        <v>0</v>
      </c>
      <c r="G167" s="16">
        <f t="shared" si="49"/>
        <v>0</v>
      </c>
      <c r="H167" s="17">
        <f t="shared" si="49"/>
        <v>0</v>
      </c>
      <c r="I167" s="17">
        <f t="shared" si="49"/>
        <v>0</v>
      </c>
      <c r="J167" s="11">
        <f t="shared" si="43"/>
        <v>0.03</v>
      </c>
    </row>
    <row r="168" spans="1:10" x14ac:dyDescent="0.2">
      <c r="A168" s="596"/>
      <c r="B168" s="614"/>
      <c r="C168" s="7">
        <v>2015</v>
      </c>
      <c r="D168" s="15">
        <f>E168+F168+G168+H168+I168</f>
        <v>0.01</v>
      </c>
      <c r="E168" s="18">
        <f>10/1000</f>
        <v>0.01</v>
      </c>
      <c r="F168" s="18">
        <v>0</v>
      </c>
      <c r="G168" s="18">
        <v>0</v>
      </c>
      <c r="H168" s="17">
        <v>0</v>
      </c>
      <c r="I168" s="17">
        <v>0</v>
      </c>
      <c r="J168" s="11">
        <f t="shared" si="43"/>
        <v>0.01</v>
      </c>
    </row>
    <row r="169" spans="1:10" x14ac:dyDescent="0.2">
      <c r="A169" s="596"/>
      <c r="B169" s="614"/>
      <c r="C169" s="7">
        <v>2016</v>
      </c>
      <c r="D169" s="15">
        <f>E169+F169+G169+H169+I169</f>
        <v>0.01</v>
      </c>
      <c r="E169" s="18">
        <f>10/1000</f>
        <v>0.01</v>
      </c>
      <c r="F169" s="18">
        <v>0</v>
      </c>
      <c r="G169" s="18">
        <v>0</v>
      </c>
      <c r="H169" s="17">
        <v>0</v>
      </c>
      <c r="I169" s="17">
        <v>0</v>
      </c>
      <c r="J169" s="11">
        <f t="shared" si="43"/>
        <v>0.01</v>
      </c>
    </row>
    <row r="170" spans="1:10" x14ac:dyDescent="0.2">
      <c r="A170" s="596"/>
      <c r="B170" s="614"/>
      <c r="C170" s="7">
        <v>2017</v>
      </c>
      <c r="D170" s="15">
        <f>E170+F170+G170+H170+I170</f>
        <v>0.01</v>
      </c>
      <c r="E170" s="18">
        <f>10/1000</f>
        <v>0.01</v>
      </c>
      <c r="F170" s="18">
        <v>0</v>
      </c>
      <c r="G170" s="18">
        <v>0</v>
      </c>
      <c r="H170" s="17">
        <v>0</v>
      </c>
      <c r="I170" s="17">
        <v>0</v>
      </c>
      <c r="J170" s="11">
        <f t="shared" si="43"/>
        <v>0.01</v>
      </c>
    </row>
    <row r="171" spans="1:10" x14ac:dyDescent="0.2">
      <c r="A171" s="596" t="s">
        <v>77</v>
      </c>
      <c r="B171" s="614" t="s">
        <v>78</v>
      </c>
      <c r="C171" s="9" t="s">
        <v>198</v>
      </c>
      <c r="D171" s="16">
        <f t="shared" ref="D171:I171" si="50">D172+D173+D174</f>
        <v>1.4999999999999999E-2</v>
      </c>
      <c r="E171" s="16">
        <f t="shared" si="50"/>
        <v>1.4999999999999999E-2</v>
      </c>
      <c r="F171" s="16">
        <f t="shared" si="50"/>
        <v>0</v>
      </c>
      <c r="G171" s="16">
        <f t="shared" si="50"/>
        <v>0</v>
      </c>
      <c r="H171" s="17">
        <f t="shared" si="50"/>
        <v>0</v>
      </c>
      <c r="I171" s="17">
        <f t="shared" si="50"/>
        <v>0</v>
      </c>
      <c r="J171" s="11">
        <f t="shared" si="43"/>
        <v>1.4999999999999999E-2</v>
      </c>
    </row>
    <row r="172" spans="1:10" x14ac:dyDescent="0.2">
      <c r="A172" s="596"/>
      <c r="B172" s="614"/>
      <c r="C172" s="7">
        <v>2015</v>
      </c>
      <c r="D172" s="15">
        <f>E172+F172+G172+H172+I172</f>
        <v>5.0000000000000001E-3</v>
      </c>
      <c r="E172" s="18">
        <f>5/1000</f>
        <v>5.0000000000000001E-3</v>
      </c>
      <c r="F172" s="18">
        <v>0</v>
      </c>
      <c r="G172" s="18">
        <v>0</v>
      </c>
      <c r="H172" s="17">
        <v>0</v>
      </c>
      <c r="I172" s="15">
        <v>0</v>
      </c>
      <c r="J172" s="11">
        <f t="shared" si="43"/>
        <v>5.0000000000000001E-3</v>
      </c>
    </row>
    <row r="173" spans="1:10" x14ac:dyDescent="0.2">
      <c r="A173" s="596"/>
      <c r="B173" s="614"/>
      <c r="C173" s="7">
        <v>2016</v>
      </c>
      <c r="D173" s="15">
        <f>E173+F173+G173+H173+I173</f>
        <v>5.0000000000000001E-3</v>
      </c>
      <c r="E173" s="18">
        <f>5/1000</f>
        <v>5.0000000000000001E-3</v>
      </c>
      <c r="F173" s="18">
        <v>0</v>
      </c>
      <c r="G173" s="18">
        <v>0</v>
      </c>
      <c r="H173" s="17">
        <v>0</v>
      </c>
      <c r="I173" s="15">
        <v>0</v>
      </c>
      <c r="J173" s="11">
        <f t="shared" si="43"/>
        <v>5.0000000000000001E-3</v>
      </c>
    </row>
    <row r="174" spans="1:10" x14ac:dyDescent="0.2">
      <c r="A174" s="596"/>
      <c r="B174" s="614"/>
      <c r="C174" s="7">
        <v>2017</v>
      </c>
      <c r="D174" s="15">
        <f>E174+F174+G174+H174+I174</f>
        <v>5.0000000000000001E-3</v>
      </c>
      <c r="E174" s="18">
        <f>5/1000</f>
        <v>5.0000000000000001E-3</v>
      </c>
      <c r="F174" s="18">
        <v>0</v>
      </c>
      <c r="G174" s="18">
        <v>0</v>
      </c>
      <c r="H174" s="17">
        <v>0</v>
      </c>
      <c r="I174" s="15">
        <v>0</v>
      </c>
      <c r="J174" s="11">
        <f t="shared" si="43"/>
        <v>5.0000000000000001E-3</v>
      </c>
    </row>
    <row r="175" spans="1:10" x14ac:dyDescent="0.2">
      <c r="A175" s="596" t="s">
        <v>79</v>
      </c>
      <c r="B175" s="614" t="s">
        <v>80</v>
      </c>
      <c r="C175" s="9" t="s">
        <v>198</v>
      </c>
      <c r="D175" s="16">
        <f t="shared" ref="D175:I175" si="51">D176+D177+D178</f>
        <v>9.0000000000000011E-3</v>
      </c>
      <c r="E175" s="16">
        <f t="shared" si="51"/>
        <v>9.0000000000000011E-3</v>
      </c>
      <c r="F175" s="16">
        <f t="shared" si="51"/>
        <v>0</v>
      </c>
      <c r="G175" s="16">
        <f t="shared" si="51"/>
        <v>0</v>
      </c>
      <c r="H175" s="17">
        <f t="shared" si="51"/>
        <v>0</v>
      </c>
      <c r="I175" s="17">
        <f t="shared" si="51"/>
        <v>0</v>
      </c>
      <c r="J175" s="11">
        <f t="shared" si="43"/>
        <v>9.0000000000000011E-3</v>
      </c>
    </row>
    <row r="176" spans="1:10" x14ac:dyDescent="0.2">
      <c r="A176" s="596"/>
      <c r="B176" s="614"/>
      <c r="C176" s="7">
        <v>2015</v>
      </c>
      <c r="D176" s="15">
        <f>E176+G176+H176+I176</f>
        <v>3.0000000000000001E-3</v>
      </c>
      <c r="E176" s="18">
        <f>3/1000</f>
        <v>3.0000000000000001E-3</v>
      </c>
      <c r="F176" s="18">
        <v>0</v>
      </c>
      <c r="G176" s="18">
        <v>0</v>
      </c>
      <c r="H176" s="17">
        <v>0</v>
      </c>
      <c r="I176" s="15">
        <v>0</v>
      </c>
      <c r="J176" s="11">
        <f t="shared" si="43"/>
        <v>3.0000000000000001E-3</v>
      </c>
    </row>
    <row r="177" spans="1:10" x14ac:dyDescent="0.2">
      <c r="A177" s="596"/>
      <c r="B177" s="614"/>
      <c r="C177" s="7">
        <v>2016</v>
      </c>
      <c r="D177" s="15">
        <f>E177+G177+H177+I177</f>
        <v>3.0000000000000001E-3</v>
      </c>
      <c r="E177" s="18">
        <f>3/1000</f>
        <v>3.0000000000000001E-3</v>
      </c>
      <c r="F177" s="18">
        <v>0</v>
      </c>
      <c r="G177" s="18">
        <v>0</v>
      </c>
      <c r="H177" s="17">
        <v>0</v>
      </c>
      <c r="I177" s="15">
        <v>0</v>
      </c>
      <c r="J177" s="11">
        <f t="shared" si="43"/>
        <v>3.0000000000000001E-3</v>
      </c>
    </row>
    <row r="178" spans="1:10" x14ac:dyDescent="0.2">
      <c r="A178" s="596"/>
      <c r="B178" s="614"/>
      <c r="C178" s="7">
        <v>2017</v>
      </c>
      <c r="D178" s="15">
        <f>E178+G178+H178+I178</f>
        <v>3.0000000000000001E-3</v>
      </c>
      <c r="E178" s="18">
        <f>3/1000</f>
        <v>3.0000000000000001E-3</v>
      </c>
      <c r="F178" s="18">
        <v>0</v>
      </c>
      <c r="G178" s="18">
        <v>0</v>
      </c>
      <c r="H178" s="17">
        <v>0</v>
      </c>
      <c r="I178" s="15">
        <v>0</v>
      </c>
      <c r="J178" s="11">
        <f t="shared" si="43"/>
        <v>3.0000000000000001E-3</v>
      </c>
    </row>
    <row r="179" spans="1:10" x14ac:dyDescent="0.2">
      <c r="A179" s="596" t="s">
        <v>81</v>
      </c>
      <c r="B179" s="614" t="s">
        <v>82</v>
      </c>
      <c r="C179" s="9" t="s">
        <v>198</v>
      </c>
      <c r="D179" s="16">
        <f t="shared" ref="D179:I179" si="52">D180+D181+D182</f>
        <v>407.78890000000001</v>
      </c>
      <c r="E179" s="16">
        <f t="shared" si="52"/>
        <v>407.78890000000001</v>
      </c>
      <c r="F179" s="16">
        <f t="shared" si="52"/>
        <v>0</v>
      </c>
      <c r="G179" s="16">
        <f t="shared" si="52"/>
        <v>0</v>
      </c>
      <c r="H179" s="17">
        <f t="shared" si="52"/>
        <v>0</v>
      </c>
      <c r="I179" s="17">
        <f t="shared" si="52"/>
        <v>0</v>
      </c>
      <c r="J179" s="11">
        <f t="shared" si="43"/>
        <v>407.78890000000001</v>
      </c>
    </row>
    <row r="180" spans="1:10" x14ac:dyDescent="0.2">
      <c r="A180" s="596"/>
      <c r="B180" s="614"/>
      <c r="C180" s="7">
        <v>2015</v>
      </c>
      <c r="D180" s="15">
        <f>E180+G180+H180+I180</f>
        <v>116.741</v>
      </c>
      <c r="E180" s="18">
        <f>E184+E188+E192+E196+E200+E204+E208+E212</f>
        <v>116.741</v>
      </c>
      <c r="F180" s="18">
        <f t="shared" ref="F180:I182" si="53">F184+F188+F192+F196+F200+F204+F208+F212</f>
        <v>0</v>
      </c>
      <c r="G180" s="18">
        <f t="shared" si="53"/>
        <v>0</v>
      </c>
      <c r="H180" s="18">
        <f t="shared" si="53"/>
        <v>0</v>
      </c>
      <c r="I180" s="18">
        <f t="shared" si="53"/>
        <v>0</v>
      </c>
      <c r="J180" s="11">
        <f t="shared" si="43"/>
        <v>116.741</v>
      </c>
    </row>
    <row r="181" spans="1:10" x14ac:dyDescent="0.2">
      <c r="A181" s="596"/>
      <c r="B181" s="614"/>
      <c r="C181" s="7">
        <v>2016</v>
      </c>
      <c r="D181" s="15">
        <f>E181+G181+H181+I181</f>
        <v>135.0977</v>
      </c>
      <c r="E181" s="18">
        <f>E185+E189+E193+E197+E201+E205+E209+E213</f>
        <v>135.0977</v>
      </c>
      <c r="F181" s="18">
        <f t="shared" si="53"/>
        <v>0</v>
      </c>
      <c r="G181" s="18">
        <f t="shared" si="53"/>
        <v>0</v>
      </c>
      <c r="H181" s="18">
        <f t="shared" si="53"/>
        <v>0</v>
      </c>
      <c r="I181" s="18">
        <f t="shared" si="53"/>
        <v>0</v>
      </c>
      <c r="J181" s="11">
        <f t="shared" si="43"/>
        <v>135.0977</v>
      </c>
    </row>
    <row r="182" spans="1:10" x14ac:dyDescent="0.2">
      <c r="A182" s="596"/>
      <c r="B182" s="614"/>
      <c r="C182" s="7">
        <v>2017</v>
      </c>
      <c r="D182" s="15">
        <f>E182+G182+H182+I182</f>
        <v>155.95019999999997</v>
      </c>
      <c r="E182" s="18">
        <f>E186+E190+E194+E198+E202+E206+E210+E214</f>
        <v>155.95019999999997</v>
      </c>
      <c r="F182" s="18">
        <f t="shared" si="53"/>
        <v>0</v>
      </c>
      <c r="G182" s="18">
        <f t="shared" si="53"/>
        <v>0</v>
      </c>
      <c r="H182" s="18">
        <f t="shared" si="53"/>
        <v>0</v>
      </c>
      <c r="I182" s="18">
        <f t="shared" si="53"/>
        <v>0</v>
      </c>
      <c r="J182" s="11">
        <f t="shared" si="43"/>
        <v>155.95019999999997</v>
      </c>
    </row>
    <row r="183" spans="1:10" x14ac:dyDescent="0.2">
      <c r="A183" s="596" t="s">
        <v>83</v>
      </c>
      <c r="B183" s="618" t="s">
        <v>84</v>
      </c>
      <c r="C183" s="9" t="s">
        <v>198</v>
      </c>
      <c r="D183" s="16">
        <f t="shared" ref="D183:I183" si="54">D184+D185+D186</f>
        <v>13.092300000000002</v>
      </c>
      <c r="E183" s="16">
        <f t="shared" si="54"/>
        <v>13.092300000000002</v>
      </c>
      <c r="F183" s="16">
        <f t="shared" si="54"/>
        <v>0</v>
      </c>
      <c r="G183" s="16">
        <f t="shared" si="54"/>
        <v>0</v>
      </c>
      <c r="H183" s="17">
        <f t="shared" si="54"/>
        <v>0</v>
      </c>
      <c r="I183" s="17">
        <f t="shared" si="54"/>
        <v>0</v>
      </c>
      <c r="J183" s="11">
        <f t="shared" si="43"/>
        <v>13.092300000000002</v>
      </c>
    </row>
    <row r="184" spans="1:10" x14ac:dyDescent="0.2">
      <c r="A184" s="596"/>
      <c r="B184" s="618"/>
      <c r="C184" s="7">
        <v>2015</v>
      </c>
      <c r="D184" s="15">
        <f>E184+F184+G184+H184+I184</f>
        <v>4.3715000000000002</v>
      </c>
      <c r="E184" s="18">
        <f>4371.5/1000</f>
        <v>4.3715000000000002</v>
      </c>
      <c r="F184" s="18">
        <v>0</v>
      </c>
      <c r="G184" s="18">
        <v>0</v>
      </c>
      <c r="H184" s="17">
        <v>0</v>
      </c>
      <c r="I184" s="17">
        <v>0</v>
      </c>
      <c r="J184" s="11">
        <f t="shared" si="43"/>
        <v>4.3715000000000002</v>
      </c>
    </row>
    <row r="185" spans="1:10" x14ac:dyDescent="0.2">
      <c r="A185" s="596"/>
      <c r="B185" s="618"/>
      <c r="C185" s="7">
        <v>2016</v>
      </c>
      <c r="D185" s="15">
        <f>E185+F185+G185+H185+I185</f>
        <v>4.3647</v>
      </c>
      <c r="E185" s="18">
        <f>4364.7/1000</f>
        <v>4.3647</v>
      </c>
      <c r="F185" s="18">
        <v>0</v>
      </c>
      <c r="G185" s="18">
        <v>0</v>
      </c>
      <c r="H185" s="17">
        <v>0</v>
      </c>
      <c r="I185" s="17">
        <v>0</v>
      </c>
      <c r="J185" s="11">
        <f t="shared" si="43"/>
        <v>4.3647</v>
      </c>
    </row>
    <row r="186" spans="1:10" x14ac:dyDescent="0.2">
      <c r="A186" s="596"/>
      <c r="B186" s="618"/>
      <c r="C186" s="7">
        <v>2017</v>
      </c>
      <c r="D186" s="15">
        <f>E186+F186+G186+H186+I186</f>
        <v>4.3561000000000005</v>
      </c>
      <c r="E186" s="18">
        <f>4356.1/1000</f>
        <v>4.3561000000000005</v>
      </c>
      <c r="F186" s="18">
        <v>0</v>
      </c>
      <c r="G186" s="18">
        <v>0</v>
      </c>
      <c r="H186" s="17">
        <v>0</v>
      </c>
      <c r="I186" s="17">
        <v>0</v>
      </c>
      <c r="J186" s="11">
        <f t="shared" si="43"/>
        <v>4.3561000000000005</v>
      </c>
    </row>
    <row r="187" spans="1:10" x14ac:dyDescent="0.2">
      <c r="A187" s="596" t="s">
        <v>85</v>
      </c>
      <c r="B187" s="614" t="s">
        <v>86</v>
      </c>
      <c r="C187" s="9" t="s">
        <v>198</v>
      </c>
      <c r="D187" s="16">
        <f t="shared" ref="D187:I187" si="55">D188+D189+D190</f>
        <v>51.1374</v>
      </c>
      <c r="E187" s="16">
        <f t="shared" si="55"/>
        <v>51.1374</v>
      </c>
      <c r="F187" s="16">
        <f t="shared" si="55"/>
        <v>0</v>
      </c>
      <c r="G187" s="16">
        <f t="shared" si="55"/>
        <v>0</v>
      </c>
      <c r="H187" s="17">
        <f t="shared" si="55"/>
        <v>0</v>
      </c>
      <c r="I187" s="17">
        <f t="shared" si="55"/>
        <v>0</v>
      </c>
      <c r="J187" s="11">
        <f t="shared" si="43"/>
        <v>51.1374</v>
      </c>
    </row>
    <row r="188" spans="1:10" x14ac:dyDescent="0.2">
      <c r="A188" s="596"/>
      <c r="B188" s="614"/>
      <c r="C188" s="7">
        <v>2015</v>
      </c>
      <c r="D188" s="15">
        <f>E188+F188+G188+H188+I188</f>
        <v>17.129200000000001</v>
      </c>
      <c r="E188" s="18">
        <f>17129.2/1000</f>
        <v>17.129200000000001</v>
      </c>
      <c r="F188" s="18">
        <v>0</v>
      </c>
      <c r="G188" s="18">
        <v>0</v>
      </c>
      <c r="H188" s="17">
        <v>0</v>
      </c>
      <c r="I188" s="17">
        <v>0</v>
      </c>
      <c r="J188" s="11">
        <f t="shared" si="43"/>
        <v>17.129200000000001</v>
      </c>
    </row>
    <row r="189" spans="1:10" x14ac:dyDescent="0.2">
      <c r="A189" s="596"/>
      <c r="B189" s="614"/>
      <c r="C189" s="7">
        <v>2016</v>
      </c>
      <c r="D189" s="15">
        <f>E189+F189+G189+H189+I189</f>
        <v>17.0291</v>
      </c>
      <c r="E189" s="18">
        <f>17029.1/1000</f>
        <v>17.0291</v>
      </c>
      <c r="F189" s="18">
        <v>0</v>
      </c>
      <c r="G189" s="18">
        <v>0</v>
      </c>
      <c r="H189" s="17">
        <v>0</v>
      </c>
      <c r="I189" s="17">
        <v>0</v>
      </c>
      <c r="J189" s="11">
        <f t="shared" si="43"/>
        <v>17.0291</v>
      </c>
    </row>
    <row r="190" spans="1:10" x14ac:dyDescent="0.2">
      <c r="A190" s="596"/>
      <c r="B190" s="614"/>
      <c r="C190" s="7">
        <v>2017</v>
      </c>
      <c r="D190" s="15">
        <f>E190+F190+G190+H190+I190</f>
        <v>16.979099999999999</v>
      </c>
      <c r="E190" s="18">
        <f>16979.1/1000</f>
        <v>16.979099999999999</v>
      </c>
      <c r="F190" s="18">
        <v>0</v>
      </c>
      <c r="G190" s="18">
        <v>0</v>
      </c>
      <c r="H190" s="17">
        <v>0</v>
      </c>
      <c r="I190" s="17">
        <v>0</v>
      </c>
      <c r="J190" s="11">
        <f t="shared" si="43"/>
        <v>16.979099999999999</v>
      </c>
    </row>
    <row r="191" spans="1:10" x14ac:dyDescent="0.2">
      <c r="A191" s="596" t="s">
        <v>87</v>
      </c>
      <c r="B191" s="614" t="s">
        <v>88</v>
      </c>
      <c r="C191" s="9" t="s">
        <v>198</v>
      </c>
      <c r="D191" s="16">
        <f t="shared" ref="D191:I191" si="56">D192+D193+D194</f>
        <v>0.316</v>
      </c>
      <c r="E191" s="16">
        <f t="shared" si="56"/>
        <v>0.316</v>
      </c>
      <c r="F191" s="16">
        <f t="shared" si="56"/>
        <v>0</v>
      </c>
      <c r="G191" s="16">
        <f t="shared" si="56"/>
        <v>0</v>
      </c>
      <c r="H191" s="17">
        <f t="shared" si="56"/>
        <v>0</v>
      </c>
      <c r="I191" s="17">
        <f t="shared" si="56"/>
        <v>0</v>
      </c>
      <c r="J191" s="11">
        <f t="shared" si="43"/>
        <v>0.316</v>
      </c>
    </row>
    <row r="192" spans="1:10" x14ac:dyDescent="0.2">
      <c r="A192" s="596"/>
      <c r="B192" s="614"/>
      <c r="C192" s="7">
        <v>2015</v>
      </c>
      <c r="D192" s="15">
        <f>E192+F192+G192+H192+I192</f>
        <v>0.316</v>
      </c>
      <c r="E192" s="18">
        <f>316/1000</f>
        <v>0.316</v>
      </c>
      <c r="F192" s="18">
        <v>0</v>
      </c>
      <c r="G192" s="18">
        <v>0</v>
      </c>
      <c r="H192" s="17">
        <v>0</v>
      </c>
      <c r="I192" s="17">
        <v>0</v>
      </c>
      <c r="J192" s="11">
        <f t="shared" si="43"/>
        <v>0.316</v>
      </c>
    </row>
    <row r="193" spans="1:10" x14ac:dyDescent="0.2">
      <c r="A193" s="596"/>
      <c r="B193" s="614"/>
      <c r="C193" s="7">
        <v>2016</v>
      </c>
      <c r="D193" s="15">
        <f>E193+F193+G193+H193+I193</f>
        <v>0</v>
      </c>
      <c r="E193" s="18">
        <v>0</v>
      </c>
      <c r="F193" s="18">
        <v>0</v>
      </c>
      <c r="G193" s="18">
        <v>0</v>
      </c>
      <c r="H193" s="17">
        <v>0</v>
      </c>
      <c r="I193" s="17">
        <v>0</v>
      </c>
      <c r="J193" s="11">
        <f t="shared" si="43"/>
        <v>0</v>
      </c>
    </row>
    <row r="194" spans="1:10" x14ac:dyDescent="0.2">
      <c r="A194" s="596"/>
      <c r="B194" s="614"/>
      <c r="C194" s="7">
        <v>2017</v>
      </c>
      <c r="D194" s="15">
        <f>E194+F194+G194+H194+I194</f>
        <v>0</v>
      </c>
      <c r="E194" s="18">
        <v>0</v>
      </c>
      <c r="F194" s="18">
        <v>0</v>
      </c>
      <c r="G194" s="18">
        <v>0</v>
      </c>
      <c r="H194" s="17">
        <v>0</v>
      </c>
      <c r="I194" s="17">
        <v>0</v>
      </c>
      <c r="J194" s="11">
        <f t="shared" si="43"/>
        <v>0</v>
      </c>
    </row>
    <row r="195" spans="1:10" ht="19.5" customHeight="1" x14ac:dyDescent="0.2">
      <c r="A195" s="596" t="s">
        <v>89</v>
      </c>
      <c r="B195" s="614" t="s">
        <v>90</v>
      </c>
      <c r="C195" s="9" t="s">
        <v>198</v>
      </c>
      <c r="D195" s="16">
        <f t="shared" ref="D195:I195" si="57">D196+D197+D198</f>
        <v>98.6614</v>
      </c>
      <c r="E195" s="16">
        <f t="shared" si="57"/>
        <v>98.6614</v>
      </c>
      <c r="F195" s="16">
        <f t="shared" si="57"/>
        <v>0</v>
      </c>
      <c r="G195" s="16">
        <f t="shared" si="57"/>
        <v>0</v>
      </c>
      <c r="H195" s="17">
        <f t="shared" si="57"/>
        <v>0</v>
      </c>
      <c r="I195" s="17">
        <f t="shared" si="57"/>
        <v>0</v>
      </c>
      <c r="J195" s="11">
        <f t="shared" si="43"/>
        <v>98.6614</v>
      </c>
    </row>
    <row r="196" spans="1:10" x14ac:dyDescent="0.2">
      <c r="A196" s="596"/>
      <c r="B196" s="614"/>
      <c r="C196" s="7">
        <v>2015</v>
      </c>
      <c r="D196" s="15">
        <f>E196+F196+G196+H196+I196</f>
        <v>24.477400000000003</v>
      </c>
      <c r="E196" s="18">
        <f>24477.4/1000</f>
        <v>24.477400000000003</v>
      </c>
      <c r="F196" s="18">
        <v>0</v>
      </c>
      <c r="G196" s="18">
        <v>0</v>
      </c>
      <c r="H196" s="17">
        <v>0</v>
      </c>
      <c r="I196" s="17">
        <v>0</v>
      </c>
      <c r="J196" s="11">
        <f t="shared" si="43"/>
        <v>24.477400000000003</v>
      </c>
    </row>
    <row r="197" spans="1:10" x14ac:dyDescent="0.2">
      <c r="A197" s="596"/>
      <c r="B197" s="614"/>
      <c r="C197" s="7">
        <v>2016</v>
      </c>
      <c r="D197" s="15">
        <f>E197+F197+G197+H197+I197</f>
        <v>33.338900000000002</v>
      </c>
      <c r="E197" s="18">
        <f>33338.9/1000</f>
        <v>33.338900000000002</v>
      </c>
      <c r="F197" s="18">
        <v>0</v>
      </c>
      <c r="G197" s="18">
        <v>0</v>
      </c>
      <c r="H197" s="17">
        <v>0</v>
      </c>
      <c r="I197" s="17">
        <v>0</v>
      </c>
      <c r="J197" s="11">
        <f t="shared" si="43"/>
        <v>33.338900000000002</v>
      </c>
    </row>
    <row r="198" spans="1:10" x14ac:dyDescent="0.2">
      <c r="A198" s="596"/>
      <c r="B198" s="614"/>
      <c r="C198" s="7">
        <v>2017</v>
      </c>
      <c r="D198" s="15">
        <f>E198+F198+G198+H198+I198</f>
        <v>40.845099999999995</v>
      </c>
      <c r="E198" s="18">
        <f>40845.1/1000</f>
        <v>40.845099999999995</v>
      </c>
      <c r="F198" s="18">
        <v>0</v>
      </c>
      <c r="G198" s="18">
        <v>0</v>
      </c>
      <c r="H198" s="17">
        <v>0</v>
      </c>
      <c r="I198" s="17">
        <v>0</v>
      </c>
      <c r="J198" s="11">
        <f t="shared" si="43"/>
        <v>40.845099999999995</v>
      </c>
    </row>
    <row r="199" spans="1:10" x14ac:dyDescent="0.2">
      <c r="A199" s="596" t="s">
        <v>91</v>
      </c>
      <c r="B199" s="614" t="s">
        <v>92</v>
      </c>
      <c r="C199" s="9" t="s">
        <v>198</v>
      </c>
      <c r="D199" s="16">
        <f t="shared" ref="D199:I199" si="58">D200+D201+D202</f>
        <v>155.68289999999999</v>
      </c>
      <c r="E199" s="16">
        <f t="shared" si="58"/>
        <v>155.68289999999999</v>
      </c>
      <c r="F199" s="16">
        <f t="shared" si="58"/>
        <v>0</v>
      </c>
      <c r="G199" s="16">
        <f t="shared" si="58"/>
        <v>0</v>
      </c>
      <c r="H199" s="17">
        <f t="shared" si="58"/>
        <v>0</v>
      </c>
      <c r="I199" s="17">
        <f t="shared" si="58"/>
        <v>0</v>
      </c>
      <c r="J199" s="11">
        <f t="shared" si="43"/>
        <v>155.68289999999999</v>
      </c>
    </row>
    <row r="200" spans="1:10" x14ac:dyDescent="0.2">
      <c r="A200" s="596"/>
      <c r="B200" s="614"/>
      <c r="C200" s="7">
        <v>2015</v>
      </c>
      <c r="D200" s="15">
        <f>E200+F200+G200+H200+I200</f>
        <v>43.609300000000005</v>
      </c>
      <c r="E200" s="18">
        <f>43609.3/1000</f>
        <v>43.609300000000005</v>
      </c>
      <c r="F200" s="18">
        <v>0</v>
      </c>
      <c r="G200" s="18">
        <v>0</v>
      </c>
      <c r="H200" s="17">
        <v>0</v>
      </c>
      <c r="I200" s="17">
        <v>0</v>
      </c>
      <c r="J200" s="11">
        <f t="shared" si="43"/>
        <v>43.609300000000005</v>
      </c>
    </row>
    <row r="201" spans="1:10" x14ac:dyDescent="0.2">
      <c r="A201" s="596"/>
      <c r="B201" s="614"/>
      <c r="C201" s="7">
        <v>2016</v>
      </c>
      <c r="D201" s="15">
        <f>E201+F201+G201+H201+I201</f>
        <v>51.239100000000001</v>
      </c>
      <c r="E201" s="18">
        <f>51239.1/1000</f>
        <v>51.239100000000001</v>
      </c>
      <c r="F201" s="18">
        <v>0</v>
      </c>
      <c r="G201" s="18">
        <v>0</v>
      </c>
      <c r="H201" s="17">
        <v>0</v>
      </c>
      <c r="I201" s="17">
        <v>0</v>
      </c>
      <c r="J201" s="11">
        <f t="shared" si="43"/>
        <v>51.239100000000001</v>
      </c>
    </row>
    <row r="202" spans="1:10" x14ac:dyDescent="0.2">
      <c r="A202" s="596"/>
      <c r="B202" s="614"/>
      <c r="C202" s="7">
        <v>2017</v>
      </c>
      <c r="D202" s="15">
        <f>E202+F202+G202+H202+I202</f>
        <v>60.834499999999998</v>
      </c>
      <c r="E202" s="18">
        <f>60834.5/1000</f>
        <v>60.834499999999998</v>
      </c>
      <c r="F202" s="18">
        <v>0</v>
      </c>
      <c r="G202" s="18">
        <v>0</v>
      </c>
      <c r="H202" s="17">
        <v>0</v>
      </c>
      <c r="I202" s="17">
        <v>0</v>
      </c>
      <c r="J202" s="11">
        <f t="shared" si="43"/>
        <v>60.834499999999998</v>
      </c>
    </row>
    <row r="203" spans="1:10" x14ac:dyDescent="0.2">
      <c r="A203" s="596" t="s">
        <v>93</v>
      </c>
      <c r="B203" s="614" t="s">
        <v>94</v>
      </c>
      <c r="C203" s="9" t="s">
        <v>198</v>
      </c>
      <c r="D203" s="16">
        <f t="shared" ref="D203:I203" si="59">D204+D205+D206</f>
        <v>59.709400000000002</v>
      </c>
      <c r="E203" s="16">
        <f t="shared" si="59"/>
        <v>59.709400000000002</v>
      </c>
      <c r="F203" s="16">
        <f t="shared" si="59"/>
        <v>0</v>
      </c>
      <c r="G203" s="16">
        <f t="shared" si="59"/>
        <v>0</v>
      </c>
      <c r="H203" s="17">
        <f t="shared" si="59"/>
        <v>0</v>
      </c>
      <c r="I203" s="17">
        <f t="shared" si="59"/>
        <v>0</v>
      </c>
      <c r="J203" s="11">
        <f t="shared" si="43"/>
        <v>59.709400000000002</v>
      </c>
    </row>
    <row r="204" spans="1:10" x14ac:dyDescent="0.2">
      <c r="A204" s="596"/>
      <c r="B204" s="614"/>
      <c r="C204" s="7">
        <v>2015</v>
      </c>
      <c r="D204" s="15">
        <f>E204+F204+G204+H204+I204</f>
        <v>19.035299999999999</v>
      </c>
      <c r="E204" s="18">
        <f>19035.3/1000</f>
        <v>19.035299999999999</v>
      </c>
      <c r="F204" s="18">
        <v>0</v>
      </c>
      <c r="G204" s="18">
        <v>0</v>
      </c>
      <c r="H204" s="17">
        <v>0</v>
      </c>
      <c r="I204" s="17">
        <v>0</v>
      </c>
      <c r="J204" s="11">
        <f t="shared" si="43"/>
        <v>19.035299999999999</v>
      </c>
    </row>
    <row r="205" spans="1:10" x14ac:dyDescent="0.2">
      <c r="A205" s="596"/>
      <c r="B205" s="614"/>
      <c r="C205" s="7">
        <v>2016</v>
      </c>
      <c r="D205" s="15">
        <f>E205+F205+G205+H205+I205</f>
        <v>19.558400000000002</v>
      </c>
      <c r="E205" s="18">
        <f>19558.4/1000</f>
        <v>19.558400000000002</v>
      </c>
      <c r="F205" s="18">
        <v>0</v>
      </c>
      <c r="G205" s="18">
        <v>0</v>
      </c>
      <c r="H205" s="17">
        <v>0</v>
      </c>
      <c r="I205" s="17">
        <v>0</v>
      </c>
      <c r="J205" s="11">
        <f t="shared" si="43"/>
        <v>19.558400000000002</v>
      </c>
    </row>
    <row r="206" spans="1:10" x14ac:dyDescent="0.2">
      <c r="A206" s="596"/>
      <c r="B206" s="614"/>
      <c r="C206" s="7">
        <v>2017</v>
      </c>
      <c r="D206" s="15">
        <f>E206+F206+G206+H206+I206</f>
        <v>21.1157</v>
      </c>
      <c r="E206" s="18">
        <f>21115.7/1000</f>
        <v>21.1157</v>
      </c>
      <c r="F206" s="18">
        <v>0</v>
      </c>
      <c r="G206" s="18">
        <v>0</v>
      </c>
      <c r="H206" s="17">
        <v>0</v>
      </c>
      <c r="I206" s="17">
        <v>0</v>
      </c>
      <c r="J206" s="11">
        <f t="shared" si="43"/>
        <v>21.1157</v>
      </c>
    </row>
    <row r="207" spans="1:10" x14ac:dyDescent="0.2">
      <c r="A207" s="596" t="s">
        <v>95</v>
      </c>
      <c r="B207" s="614" t="s">
        <v>96</v>
      </c>
      <c r="C207" s="9" t="s">
        <v>198</v>
      </c>
      <c r="D207" s="16">
        <f t="shared" ref="D207:I207" si="60">D208+D209+D210</f>
        <v>9.5348000000000006</v>
      </c>
      <c r="E207" s="16">
        <f t="shared" si="60"/>
        <v>9.5348000000000006</v>
      </c>
      <c r="F207" s="16">
        <f t="shared" si="60"/>
        <v>0</v>
      </c>
      <c r="G207" s="16">
        <f t="shared" si="60"/>
        <v>0</v>
      </c>
      <c r="H207" s="17">
        <f t="shared" si="60"/>
        <v>0</v>
      </c>
      <c r="I207" s="17">
        <f t="shared" si="60"/>
        <v>0</v>
      </c>
      <c r="J207" s="11">
        <f t="shared" si="43"/>
        <v>9.5348000000000006</v>
      </c>
    </row>
    <row r="208" spans="1:10" x14ac:dyDescent="0.2">
      <c r="A208" s="596"/>
      <c r="B208" s="614"/>
      <c r="C208" s="7">
        <v>2015</v>
      </c>
      <c r="D208" s="15">
        <f>E208+F208+G208+H208+I208</f>
        <v>2.5683000000000002</v>
      </c>
      <c r="E208" s="18">
        <f>2568.3/1000</f>
        <v>2.5683000000000002</v>
      </c>
      <c r="F208" s="18">
        <v>0</v>
      </c>
      <c r="G208" s="18">
        <v>0</v>
      </c>
      <c r="H208" s="17">
        <v>0</v>
      </c>
      <c r="I208" s="17">
        <v>0</v>
      </c>
      <c r="J208" s="11">
        <f t="shared" ref="J208:J260" si="61">SUM(E208:I208)</f>
        <v>2.5683000000000002</v>
      </c>
    </row>
    <row r="209" spans="1:10" x14ac:dyDescent="0.2">
      <c r="A209" s="596"/>
      <c r="B209" s="614"/>
      <c r="C209" s="7">
        <v>2016</v>
      </c>
      <c r="D209" s="15">
        <f>E209+F209+G209+H209+I209</f>
        <v>3.1275999999999997</v>
      </c>
      <c r="E209" s="18">
        <f>3127.6/1000</f>
        <v>3.1275999999999997</v>
      </c>
      <c r="F209" s="18">
        <v>0</v>
      </c>
      <c r="G209" s="18">
        <v>0</v>
      </c>
      <c r="H209" s="17">
        <v>0</v>
      </c>
      <c r="I209" s="17">
        <v>0</v>
      </c>
      <c r="J209" s="11">
        <f t="shared" si="61"/>
        <v>3.1275999999999997</v>
      </c>
    </row>
    <row r="210" spans="1:10" x14ac:dyDescent="0.2">
      <c r="A210" s="596"/>
      <c r="B210" s="614"/>
      <c r="C210" s="7">
        <v>2017</v>
      </c>
      <c r="D210" s="15">
        <f>E210+F210+G210+H210+I210</f>
        <v>3.8389000000000002</v>
      </c>
      <c r="E210" s="18">
        <f>3838.9/1000</f>
        <v>3.8389000000000002</v>
      </c>
      <c r="F210" s="18">
        <v>0</v>
      </c>
      <c r="G210" s="18">
        <v>0</v>
      </c>
      <c r="H210" s="17">
        <v>0</v>
      </c>
      <c r="I210" s="17">
        <v>0</v>
      </c>
      <c r="J210" s="11">
        <f t="shared" si="61"/>
        <v>3.8389000000000002</v>
      </c>
    </row>
    <row r="211" spans="1:10" x14ac:dyDescent="0.2">
      <c r="A211" s="596" t="s">
        <v>97</v>
      </c>
      <c r="B211" s="614" t="s">
        <v>98</v>
      </c>
      <c r="C211" s="9" t="s">
        <v>198</v>
      </c>
      <c r="D211" s="16">
        <f t="shared" ref="D211:I211" si="62">D212+D213+D214</f>
        <v>19.654699999999998</v>
      </c>
      <c r="E211" s="16">
        <f t="shared" si="62"/>
        <v>19.654699999999998</v>
      </c>
      <c r="F211" s="16">
        <f t="shared" si="62"/>
        <v>0</v>
      </c>
      <c r="G211" s="16">
        <f t="shared" si="62"/>
        <v>0</v>
      </c>
      <c r="H211" s="17">
        <f t="shared" si="62"/>
        <v>0</v>
      </c>
      <c r="I211" s="17">
        <f t="shared" si="62"/>
        <v>0</v>
      </c>
      <c r="J211" s="11">
        <f t="shared" si="61"/>
        <v>19.654699999999998</v>
      </c>
    </row>
    <row r="212" spans="1:10" x14ac:dyDescent="0.2">
      <c r="A212" s="596"/>
      <c r="B212" s="614"/>
      <c r="C212" s="7">
        <v>2015</v>
      </c>
      <c r="D212" s="15">
        <f>E212+F212+G212+H212+I212</f>
        <v>5.234</v>
      </c>
      <c r="E212" s="18">
        <f>5234/1000</f>
        <v>5.234</v>
      </c>
      <c r="F212" s="18">
        <v>0</v>
      </c>
      <c r="G212" s="18">
        <v>0</v>
      </c>
      <c r="H212" s="17">
        <v>0</v>
      </c>
      <c r="I212" s="17">
        <v>0</v>
      </c>
      <c r="J212" s="11">
        <f t="shared" si="61"/>
        <v>5.234</v>
      </c>
    </row>
    <row r="213" spans="1:10" x14ac:dyDescent="0.2">
      <c r="A213" s="596"/>
      <c r="B213" s="614"/>
      <c r="C213" s="7">
        <v>2016</v>
      </c>
      <c r="D213" s="15">
        <f>E213+F213+G213+H213+I213</f>
        <v>6.4398999999999997</v>
      </c>
      <c r="E213" s="18">
        <f>6439.9/1000</f>
        <v>6.4398999999999997</v>
      </c>
      <c r="F213" s="18">
        <v>0</v>
      </c>
      <c r="G213" s="18">
        <v>0</v>
      </c>
      <c r="H213" s="17">
        <v>0</v>
      </c>
      <c r="I213" s="17">
        <v>0</v>
      </c>
      <c r="J213" s="11">
        <f t="shared" si="61"/>
        <v>6.4398999999999997</v>
      </c>
    </row>
    <row r="214" spans="1:10" x14ac:dyDescent="0.2">
      <c r="A214" s="596"/>
      <c r="B214" s="614"/>
      <c r="C214" s="7">
        <v>2017</v>
      </c>
      <c r="D214" s="15">
        <f>E214+F214+G214+H214+I214</f>
        <v>7.9808000000000003</v>
      </c>
      <c r="E214" s="18">
        <f>7980.8/1000</f>
        <v>7.9808000000000003</v>
      </c>
      <c r="F214" s="18">
        <v>0</v>
      </c>
      <c r="G214" s="18">
        <v>0</v>
      </c>
      <c r="H214" s="17">
        <v>0</v>
      </c>
      <c r="I214" s="17">
        <v>0</v>
      </c>
      <c r="J214" s="11">
        <f t="shared" si="61"/>
        <v>7.9808000000000003</v>
      </c>
    </row>
    <row r="215" spans="1:10" x14ac:dyDescent="0.2">
      <c r="A215" s="596" t="s">
        <v>99</v>
      </c>
      <c r="B215" s="585" t="s">
        <v>100</v>
      </c>
      <c r="C215" s="9" t="s">
        <v>198</v>
      </c>
      <c r="D215" s="16">
        <f>D216+D217+D218</f>
        <v>1.9881000000000002</v>
      </c>
      <c r="E215" s="16">
        <f>E216+E217+E218</f>
        <v>1.3407</v>
      </c>
      <c r="F215" s="16">
        <v>0</v>
      </c>
      <c r="G215" s="16">
        <f>G216+G217+G218</f>
        <v>0.64740000000000009</v>
      </c>
      <c r="H215" s="16">
        <f>H216+H217+H218</f>
        <v>0</v>
      </c>
      <c r="I215" s="16">
        <f>I216+I217+I218</f>
        <v>0</v>
      </c>
      <c r="J215" s="11">
        <f t="shared" si="61"/>
        <v>1.9881000000000002</v>
      </c>
    </row>
    <row r="216" spans="1:10" x14ac:dyDescent="0.2">
      <c r="A216" s="596"/>
      <c r="B216" s="585"/>
      <c r="C216" s="7">
        <v>2015</v>
      </c>
      <c r="D216" s="15">
        <f>E216+F216+G216+H216+I216</f>
        <v>0.64290000000000003</v>
      </c>
      <c r="E216" s="18">
        <f>427.1/1000</f>
        <v>0.42710000000000004</v>
      </c>
      <c r="F216" s="16">
        <v>0</v>
      </c>
      <c r="G216" s="18">
        <f>215.8/1000</f>
        <v>0.21580000000000002</v>
      </c>
      <c r="H216" s="16">
        <v>0</v>
      </c>
      <c r="I216" s="16">
        <v>0</v>
      </c>
      <c r="J216" s="11">
        <f t="shared" si="61"/>
        <v>0.64290000000000003</v>
      </c>
    </row>
    <row r="217" spans="1:10" x14ac:dyDescent="0.2">
      <c r="A217" s="596"/>
      <c r="B217" s="585"/>
      <c r="C217" s="7">
        <v>2016</v>
      </c>
      <c r="D217" s="15">
        <f>E217+F217+G217+H217+I217</f>
        <v>0.66300000000000003</v>
      </c>
      <c r="E217" s="18">
        <f>447.2/1000</f>
        <v>0.44719999999999999</v>
      </c>
      <c r="F217" s="16">
        <v>0</v>
      </c>
      <c r="G217" s="18">
        <f>215.8/1000</f>
        <v>0.21580000000000002</v>
      </c>
      <c r="H217" s="16">
        <v>0</v>
      </c>
      <c r="I217" s="16">
        <v>0</v>
      </c>
      <c r="J217" s="11">
        <f t="shared" si="61"/>
        <v>0.66300000000000003</v>
      </c>
    </row>
    <row r="218" spans="1:10" x14ac:dyDescent="0.2">
      <c r="A218" s="596"/>
      <c r="B218" s="585"/>
      <c r="C218" s="7">
        <v>2017</v>
      </c>
      <c r="D218" s="15">
        <f>E218+F218+G218+H218+I218</f>
        <v>0.68220000000000003</v>
      </c>
      <c r="E218" s="18">
        <f>466.4/1000</f>
        <v>0.46639999999999998</v>
      </c>
      <c r="F218" s="16">
        <v>0</v>
      </c>
      <c r="G218" s="18">
        <f>215.8/1000</f>
        <v>0.21580000000000002</v>
      </c>
      <c r="H218" s="16">
        <v>0</v>
      </c>
      <c r="I218" s="16">
        <v>0</v>
      </c>
      <c r="J218" s="11">
        <f t="shared" si="61"/>
        <v>0.68220000000000003</v>
      </c>
    </row>
    <row r="219" spans="1:10" x14ac:dyDescent="0.2">
      <c r="A219" s="596" t="s">
        <v>101</v>
      </c>
      <c r="B219" s="585" t="s">
        <v>102</v>
      </c>
      <c r="C219" s="9" t="s">
        <v>198</v>
      </c>
      <c r="D219" s="16">
        <f t="shared" ref="D219:I219" si="63">D220+D221+D222</f>
        <v>1.0203</v>
      </c>
      <c r="E219" s="16">
        <f t="shared" si="63"/>
        <v>1.0203</v>
      </c>
      <c r="F219" s="16">
        <f t="shared" si="63"/>
        <v>0</v>
      </c>
      <c r="G219" s="16">
        <f t="shared" si="63"/>
        <v>0</v>
      </c>
      <c r="H219" s="16">
        <f t="shared" si="63"/>
        <v>0</v>
      </c>
      <c r="I219" s="16">
        <f t="shared" si="63"/>
        <v>0</v>
      </c>
      <c r="J219" s="11">
        <f t="shared" si="61"/>
        <v>1.0203</v>
      </c>
    </row>
    <row r="220" spans="1:10" x14ac:dyDescent="0.2">
      <c r="A220" s="596"/>
      <c r="B220" s="585"/>
      <c r="C220" s="7">
        <v>2015</v>
      </c>
      <c r="D220" s="16">
        <f>I220+H220+G220+F220+E220</f>
        <v>0.32029999999999997</v>
      </c>
      <c r="E220" s="18">
        <v>0.32029999999999997</v>
      </c>
      <c r="F220" s="18">
        <v>0</v>
      </c>
      <c r="G220" s="18">
        <v>0</v>
      </c>
      <c r="H220" s="18">
        <v>0</v>
      </c>
      <c r="I220" s="18">
        <v>0</v>
      </c>
      <c r="J220" s="11">
        <f t="shared" si="61"/>
        <v>0.32029999999999997</v>
      </c>
    </row>
    <row r="221" spans="1:10" x14ac:dyDescent="0.2">
      <c r="A221" s="596"/>
      <c r="B221" s="585"/>
      <c r="C221" s="7">
        <v>2016</v>
      </c>
      <c r="D221" s="16">
        <f>I221+H221+G221+F221+E221</f>
        <v>0.34039999999999998</v>
      </c>
      <c r="E221" s="18">
        <v>0.34039999999999998</v>
      </c>
      <c r="F221" s="18">
        <v>0</v>
      </c>
      <c r="G221" s="18">
        <v>0</v>
      </c>
      <c r="H221" s="18">
        <v>0</v>
      </c>
      <c r="I221" s="18">
        <v>0</v>
      </c>
      <c r="J221" s="11">
        <f t="shared" si="61"/>
        <v>0.34039999999999998</v>
      </c>
    </row>
    <row r="222" spans="1:10" x14ac:dyDescent="0.2">
      <c r="A222" s="596"/>
      <c r="B222" s="585"/>
      <c r="C222" s="7">
        <v>2017</v>
      </c>
      <c r="D222" s="16">
        <f>I222+H222+G222+F222+E222</f>
        <v>0.35959999999999998</v>
      </c>
      <c r="E222" s="18">
        <v>0.35959999999999998</v>
      </c>
      <c r="F222" s="18">
        <v>0</v>
      </c>
      <c r="G222" s="18">
        <v>0</v>
      </c>
      <c r="H222" s="18">
        <v>0</v>
      </c>
      <c r="I222" s="18">
        <v>0</v>
      </c>
      <c r="J222" s="11">
        <f t="shared" si="61"/>
        <v>0.35959999999999998</v>
      </c>
    </row>
    <row r="223" spans="1:10" x14ac:dyDescent="0.2">
      <c r="A223" s="596" t="s">
        <v>103</v>
      </c>
      <c r="B223" s="585" t="s">
        <v>104</v>
      </c>
      <c r="C223" s="9" t="s">
        <v>198</v>
      </c>
      <c r="D223" s="16">
        <f t="shared" ref="D223:I223" si="64">D224+D225+D226</f>
        <v>0.71939999999999993</v>
      </c>
      <c r="E223" s="16">
        <f t="shared" si="64"/>
        <v>7.2000000000000008E-2</v>
      </c>
      <c r="F223" s="16">
        <f t="shared" si="64"/>
        <v>0</v>
      </c>
      <c r="G223" s="16">
        <f t="shared" si="64"/>
        <v>0.64739999999999998</v>
      </c>
      <c r="H223" s="16">
        <f t="shared" si="64"/>
        <v>0</v>
      </c>
      <c r="I223" s="16">
        <f t="shared" si="64"/>
        <v>0</v>
      </c>
      <c r="J223" s="11">
        <f t="shared" si="61"/>
        <v>0.71940000000000004</v>
      </c>
    </row>
    <row r="224" spans="1:10" x14ac:dyDescent="0.2">
      <c r="A224" s="596"/>
      <c r="B224" s="585"/>
      <c r="C224" s="7">
        <v>2015</v>
      </c>
      <c r="D224" s="16">
        <f>E224+F224+G224+H224+I224</f>
        <v>0.23979999999999999</v>
      </c>
      <c r="E224" s="18">
        <v>2.4E-2</v>
      </c>
      <c r="F224" s="18">
        <v>0</v>
      </c>
      <c r="G224" s="18">
        <v>0.21579999999999999</v>
      </c>
      <c r="H224" s="18">
        <v>0</v>
      </c>
      <c r="I224" s="18">
        <v>0</v>
      </c>
      <c r="J224" s="11">
        <f t="shared" si="61"/>
        <v>0.23979999999999999</v>
      </c>
    </row>
    <row r="225" spans="1:13" x14ac:dyDescent="0.2">
      <c r="A225" s="596"/>
      <c r="B225" s="585"/>
      <c r="C225" s="7">
        <v>2016</v>
      </c>
      <c r="D225" s="16">
        <f>E225+F225+G225+H225+I225</f>
        <v>0.23979999999999999</v>
      </c>
      <c r="E225" s="18">
        <v>2.4E-2</v>
      </c>
      <c r="F225" s="18">
        <v>0</v>
      </c>
      <c r="G225" s="18">
        <v>0.21579999999999999</v>
      </c>
      <c r="H225" s="18">
        <v>0</v>
      </c>
      <c r="I225" s="18">
        <v>0</v>
      </c>
      <c r="J225" s="11">
        <f t="shared" si="61"/>
        <v>0.23979999999999999</v>
      </c>
    </row>
    <row r="226" spans="1:13" x14ac:dyDescent="0.2">
      <c r="A226" s="596"/>
      <c r="B226" s="585"/>
      <c r="C226" s="7">
        <v>2017</v>
      </c>
      <c r="D226" s="16">
        <f>E226+F226+G226+H226+I226</f>
        <v>0.23979999999999999</v>
      </c>
      <c r="E226" s="18">
        <v>2.4E-2</v>
      </c>
      <c r="F226" s="18">
        <v>0</v>
      </c>
      <c r="G226" s="18">
        <v>0.21579999999999999</v>
      </c>
      <c r="H226" s="18">
        <v>0</v>
      </c>
      <c r="I226" s="18">
        <v>0</v>
      </c>
      <c r="J226" s="11">
        <f t="shared" si="61"/>
        <v>0.23979999999999999</v>
      </c>
    </row>
    <row r="227" spans="1:13" x14ac:dyDescent="0.2">
      <c r="A227" s="596" t="s">
        <v>105</v>
      </c>
      <c r="B227" s="585" t="s">
        <v>106</v>
      </c>
      <c r="C227" s="9" t="s">
        <v>198</v>
      </c>
      <c r="D227" s="16">
        <f t="shared" ref="D227:I227" si="65">D228+D229+D230</f>
        <v>0.24840000000000001</v>
      </c>
      <c r="E227" s="16">
        <f t="shared" si="65"/>
        <v>0.24840000000000001</v>
      </c>
      <c r="F227" s="16">
        <f t="shared" si="65"/>
        <v>0</v>
      </c>
      <c r="G227" s="16">
        <f t="shared" si="65"/>
        <v>0</v>
      </c>
      <c r="H227" s="16">
        <f t="shared" si="65"/>
        <v>0</v>
      </c>
      <c r="I227" s="16">
        <f t="shared" si="65"/>
        <v>0</v>
      </c>
      <c r="J227" s="11">
        <f t="shared" si="61"/>
        <v>0.24840000000000001</v>
      </c>
    </row>
    <row r="228" spans="1:13" x14ac:dyDescent="0.2">
      <c r="A228" s="596"/>
      <c r="B228" s="585"/>
      <c r="C228" s="7">
        <v>2015</v>
      </c>
      <c r="D228" s="15">
        <f>E228+F228+G228+H228+I228</f>
        <v>8.2799999999999999E-2</v>
      </c>
      <c r="E228" s="18">
        <v>8.2799999999999999E-2</v>
      </c>
      <c r="F228" s="18">
        <v>0</v>
      </c>
      <c r="G228" s="18">
        <v>0</v>
      </c>
      <c r="H228" s="18">
        <v>0</v>
      </c>
      <c r="I228" s="18">
        <v>0</v>
      </c>
      <c r="J228" s="11">
        <f t="shared" si="61"/>
        <v>8.2799999999999999E-2</v>
      </c>
    </row>
    <row r="229" spans="1:13" x14ac:dyDescent="0.2">
      <c r="A229" s="596"/>
      <c r="B229" s="585"/>
      <c r="C229" s="7">
        <v>2016</v>
      </c>
      <c r="D229" s="15">
        <f>E229+F229+G229+H229+I229</f>
        <v>8.2799999999999999E-2</v>
      </c>
      <c r="E229" s="18">
        <v>8.2799999999999999E-2</v>
      </c>
      <c r="F229" s="18">
        <v>0</v>
      </c>
      <c r="G229" s="18">
        <v>0</v>
      </c>
      <c r="H229" s="18">
        <v>0</v>
      </c>
      <c r="I229" s="18">
        <v>0</v>
      </c>
      <c r="J229" s="11">
        <f t="shared" si="61"/>
        <v>8.2799999999999999E-2</v>
      </c>
    </row>
    <row r="230" spans="1:13" x14ac:dyDescent="0.2">
      <c r="A230" s="596"/>
      <c r="B230" s="585"/>
      <c r="C230" s="7">
        <v>2017</v>
      </c>
      <c r="D230" s="15">
        <f>E230+F230+G230+H230+I230</f>
        <v>8.2799999999999999E-2</v>
      </c>
      <c r="E230" s="18">
        <v>8.2799999999999999E-2</v>
      </c>
      <c r="F230" s="18">
        <v>0</v>
      </c>
      <c r="G230" s="18">
        <v>0</v>
      </c>
      <c r="H230" s="18">
        <v>0</v>
      </c>
      <c r="I230" s="18">
        <v>0</v>
      </c>
      <c r="J230" s="11">
        <f t="shared" si="61"/>
        <v>8.2799999999999999E-2</v>
      </c>
    </row>
    <row r="231" spans="1:13" x14ac:dyDescent="0.2">
      <c r="A231" s="596" t="s">
        <v>107</v>
      </c>
      <c r="B231" s="616" t="s">
        <v>205</v>
      </c>
      <c r="C231" s="9" t="s">
        <v>198</v>
      </c>
      <c r="D231" s="16">
        <f t="shared" ref="D231:I231" si="66">D232+D233+D234</f>
        <v>48.314019999999999</v>
      </c>
      <c r="E231" s="16">
        <f t="shared" si="66"/>
        <v>7.8270000000000008</v>
      </c>
      <c r="F231" s="16">
        <f t="shared" si="66"/>
        <v>5.49892</v>
      </c>
      <c r="G231" s="16">
        <f t="shared" si="66"/>
        <v>7.1321000000000012</v>
      </c>
      <c r="H231" s="16">
        <f t="shared" si="66"/>
        <v>27.856000000000002</v>
      </c>
      <c r="I231" s="16">
        <f t="shared" si="66"/>
        <v>0</v>
      </c>
      <c r="J231" s="11">
        <f t="shared" si="61"/>
        <v>48.314019999999999</v>
      </c>
    </row>
    <row r="232" spans="1:13" x14ac:dyDescent="0.2">
      <c r="A232" s="596"/>
      <c r="B232" s="616"/>
      <c r="C232" s="7">
        <v>2015</v>
      </c>
      <c r="D232" s="15">
        <f t="shared" ref="D232:I232" si="67">D236</f>
        <v>15.507000000000001</v>
      </c>
      <c r="E232" s="15">
        <f t="shared" si="67"/>
        <v>2.5230000000000001</v>
      </c>
      <c r="F232" s="15">
        <f t="shared" si="67"/>
        <v>1.78308</v>
      </c>
      <c r="G232" s="15">
        <f t="shared" si="67"/>
        <v>2.2729200000000001</v>
      </c>
      <c r="H232" s="15">
        <f t="shared" si="67"/>
        <v>8.9280000000000008</v>
      </c>
      <c r="I232" s="15">
        <f t="shared" si="67"/>
        <v>0</v>
      </c>
      <c r="J232" s="11">
        <f t="shared" si="61"/>
        <v>15.507000000000001</v>
      </c>
    </row>
    <row r="233" spans="1:13" x14ac:dyDescent="0.2">
      <c r="A233" s="596"/>
      <c r="B233" s="616"/>
      <c r="C233" s="7">
        <v>2016</v>
      </c>
      <c r="D233" s="15">
        <f t="shared" ref="D233:I234" si="68">D245</f>
        <v>16.019220000000001</v>
      </c>
      <c r="E233" s="15">
        <f t="shared" si="68"/>
        <v>2.6520000000000001</v>
      </c>
      <c r="F233" s="15">
        <f t="shared" si="68"/>
        <v>1.7689600000000001</v>
      </c>
      <c r="G233" s="15">
        <f t="shared" si="68"/>
        <v>2.3132600000000001</v>
      </c>
      <c r="H233" s="15">
        <f t="shared" si="68"/>
        <v>9.2850000000000001</v>
      </c>
      <c r="I233" s="15">
        <f t="shared" si="68"/>
        <v>0</v>
      </c>
      <c r="J233" s="11">
        <f t="shared" si="61"/>
        <v>16.019220000000001</v>
      </c>
    </row>
    <row r="234" spans="1:13" x14ac:dyDescent="0.2">
      <c r="A234" s="596"/>
      <c r="B234" s="616"/>
      <c r="C234" s="7">
        <v>2017</v>
      </c>
      <c r="D234" s="15">
        <f t="shared" si="68"/>
        <v>16.787800000000001</v>
      </c>
      <c r="E234" s="15">
        <f t="shared" si="68"/>
        <v>2.6520000000000001</v>
      </c>
      <c r="F234" s="15">
        <f t="shared" si="68"/>
        <v>1.9468800000000002</v>
      </c>
      <c r="G234" s="15">
        <f t="shared" si="68"/>
        <v>2.5459200000000002</v>
      </c>
      <c r="H234" s="15">
        <f t="shared" si="68"/>
        <v>9.6430000000000007</v>
      </c>
      <c r="I234" s="15">
        <f t="shared" si="68"/>
        <v>0</v>
      </c>
      <c r="J234" s="11">
        <f t="shared" si="61"/>
        <v>16.787800000000001</v>
      </c>
    </row>
    <row r="235" spans="1:13" ht="12.75" customHeight="1" x14ac:dyDescent="0.2">
      <c r="A235" s="596" t="s">
        <v>201</v>
      </c>
      <c r="B235" s="588" t="s">
        <v>108</v>
      </c>
      <c r="C235" s="9" t="s">
        <v>198</v>
      </c>
      <c r="D235" s="16">
        <f t="shared" ref="D235:I235" si="69">D236+D237+D238</f>
        <v>48.314019999999999</v>
      </c>
      <c r="E235" s="16">
        <f t="shared" si="69"/>
        <v>7.8270000000000008</v>
      </c>
      <c r="F235" s="16">
        <f t="shared" si="69"/>
        <v>5.49892</v>
      </c>
      <c r="G235" s="16">
        <f t="shared" si="69"/>
        <v>7.1321000000000012</v>
      </c>
      <c r="H235" s="16">
        <f t="shared" si="69"/>
        <v>27.856000000000002</v>
      </c>
      <c r="I235" s="16">
        <f t="shared" si="69"/>
        <v>0</v>
      </c>
      <c r="J235" s="11">
        <f t="shared" si="61"/>
        <v>48.314019999999999</v>
      </c>
      <c r="K235" s="19"/>
      <c r="L235" s="20"/>
      <c r="M235" s="20"/>
    </row>
    <row r="236" spans="1:13" x14ac:dyDescent="0.2">
      <c r="A236" s="596"/>
      <c r="B236" s="588"/>
      <c r="C236" s="7">
        <v>2015</v>
      </c>
      <c r="D236" s="15">
        <f>E236+F236+G236+H236+I236</f>
        <v>15.507000000000001</v>
      </c>
      <c r="E236" s="18">
        <f>E244+E240</f>
        <v>2.5230000000000001</v>
      </c>
      <c r="F236" s="18">
        <f>F244+F240</f>
        <v>1.78308</v>
      </c>
      <c r="G236" s="18">
        <f>G244+G240</f>
        <v>2.2729200000000001</v>
      </c>
      <c r="H236" s="18">
        <f>H244+H240</f>
        <v>8.9280000000000008</v>
      </c>
      <c r="I236" s="18">
        <f>I244+I240</f>
        <v>0</v>
      </c>
      <c r="J236" s="11">
        <f t="shared" si="61"/>
        <v>15.507000000000001</v>
      </c>
      <c r="K236" s="20"/>
      <c r="L236" s="20"/>
      <c r="M236" s="20"/>
    </row>
    <row r="237" spans="1:13" x14ac:dyDescent="0.2">
      <c r="A237" s="596"/>
      <c r="B237" s="588"/>
      <c r="C237" s="7">
        <v>2016</v>
      </c>
      <c r="D237" s="15">
        <f>E237+F237+G237+H237+I237</f>
        <v>16.019220000000001</v>
      </c>
      <c r="E237" s="18">
        <f t="shared" ref="E237:I238" si="70">E245+E241</f>
        <v>2.6520000000000001</v>
      </c>
      <c r="F237" s="18">
        <f t="shared" si="70"/>
        <v>1.7689600000000001</v>
      </c>
      <c r="G237" s="18">
        <f t="shared" si="70"/>
        <v>2.3132600000000001</v>
      </c>
      <c r="H237" s="18">
        <f t="shared" si="70"/>
        <v>9.2850000000000001</v>
      </c>
      <c r="I237" s="18">
        <f t="shared" si="70"/>
        <v>0</v>
      </c>
      <c r="J237" s="11">
        <f t="shared" si="61"/>
        <v>16.019220000000001</v>
      </c>
      <c r="K237" s="20"/>
      <c r="L237" s="20"/>
      <c r="M237" s="20"/>
    </row>
    <row r="238" spans="1:13" x14ac:dyDescent="0.2">
      <c r="A238" s="596"/>
      <c r="B238" s="588"/>
      <c r="C238" s="7">
        <v>2017</v>
      </c>
      <c r="D238" s="15">
        <f>E238+F238+G238+H238+I238</f>
        <v>16.787800000000001</v>
      </c>
      <c r="E238" s="18">
        <f t="shared" si="70"/>
        <v>2.6520000000000001</v>
      </c>
      <c r="F238" s="18">
        <f t="shared" si="70"/>
        <v>1.9468800000000002</v>
      </c>
      <c r="G238" s="18">
        <f t="shared" si="70"/>
        <v>2.5459200000000002</v>
      </c>
      <c r="H238" s="18">
        <f t="shared" si="70"/>
        <v>9.6430000000000007</v>
      </c>
      <c r="I238" s="18">
        <f t="shared" si="70"/>
        <v>0</v>
      </c>
      <c r="J238" s="11">
        <f t="shared" si="61"/>
        <v>16.787800000000001</v>
      </c>
      <c r="K238" s="20"/>
      <c r="L238" s="20"/>
      <c r="M238" s="20"/>
    </row>
    <row r="239" spans="1:13" ht="12.75" customHeight="1" x14ac:dyDescent="0.2">
      <c r="A239" s="596" t="s">
        <v>109</v>
      </c>
      <c r="B239" s="585" t="s">
        <v>110</v>
      </c>
      <c r="C239" s="9" t="s">
        <v>198</v>
      </c>
      <c r="D239" s="16">
        <f t="shared" ref="D239:I239" si="71">D240+D241+D242</f>
        <v>0</v>
      </c>
      <c r="E239" s="16">
        <f t="shared" si="71"/>
        <v>0</v>
      </c>
      <c r="F239" s="16">
        <f t="shared" si="71"/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11">
        <f t="shared" si="61"/>
        <v>0</v>
      </c>
      <c r="K239" s="20"/>
      <c r="L239" s="20"/>
      <c r="M239" s="20"/>
    </row>
    <row r="240" spans="1:13" ht="12.75" customHeight="1" x14ac:dyDescent="0.2">
      <c r="A240" s="596"/>
      <c r="B240" s="585"/>
      <c r="C240" s="7">
        <v>2015</v>
      </c>
      <c r="D240" s="15">
        <f>E240+F240+G240+H240+I240</f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11">
        <f t="shared" si="61"/>
        <v>0</v>
      </c>
      <c r="K240" s="613"/>
      <c r="L240" s="613"/>
      <c r="M240" s="20"/>
    </row>
    <row r="241" spans="1:13" ht="12.75" customHeight="1" x14ac:dyDescent="0.2">
      <c r="A241" s="596"/>
      <c r="B241" s="585"/>
      <c r="C241" s="7">
        <v>2016</v>
      </c>
      <c r="D241" s="15">
        <f>E241+F241+G241+H241+I241</f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11">
        <f t="shared" si="61"/>
        <v>0</v>
      </c>
      <c r="K241" s="613"/>
      <c r="L241" s="613"/>
      <c r="M241" s="20"/>
    </row>
    <row r="242" spans="1:13" ht="12.75" customHeight="1" x14ac:dyDescent="0.2">
      <c r="A242" s="596"/>
      <c r="B242" s="585"/>
      <c r="C242" s="7">
        <v>2017</v>
      </c>
      <c r="D242" s="15">
        <f>E242+F242+G242+H242+I242</f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11">
        <f t="shared" si="61"/>
        <v>0</v>
      </c>
      <c r="K242" s="613"/>
      <c r="L242" s="613"/>
      <c r="M242" s="20"/>
    </row>
    <row r="243" spans="1:13" ht="12.75" customHeight="1" x14ac:dyDescent="0.2">
      <c r="A243" s="596" t="s">
        <v>111</v>
      </c>
      <c r="B243" s="584" t="s">
        <v>112</v>
      </c>
      <c r="C243" s="9" t="s">
        <v>198</v>
      </c>
      <c r="D243" s="16">
        <f t="shared" ref="D243:I243" si="72">D244+D245+D246</f>
        <v>48.314019999999999</v>
      </c>
      <c r="E243" s="16">
        <f t="shared" si="72"/>
        <v>7.8270000000000008</v>
      </c>
      <c r="F243" s="16">
        <f t="shared" si="72"/>
        <v>5.49892</v>
      </c>
      <c r="G243" s="16">
        <f t="shared" si="72"/>
        <v>7.1321000000000012</v>
      </c>
      <c r="H243" s="16">
        <f t="shared" si="72"/>
        <v>27.856000000000002</v>
      </c>
      <c r="I243" s="16">
        <f t="shared" si="72"/>
        <v>0</v>
      </c>
      <c r="J243" s="11">
        <f t="shared" si="61"/>
        <v>48.314019999999999</v>
      </c>
      <c r="K243" s="22"/>
      <c r="L243" s="22"/>
      <c r="M243" s="20"/>
    </row>
    <row r="244" spans="1:13" x14ac:dyDescent="0.2">
      <c r="A244" s="596"/>
      <c r="B244" s="584"/>
      <c r="C244" s="7">
        <v>2015</v>
      </c>
      <c r="D244" s="15">
        <f>E244+F244+G244+H244+I244</f>
        <v>15.507000000000001</v>
      </c>
      <c r="E244" s="23">
        <f>2523/1000</f>
        <v>2.5230000000000001</v>
      </c>
      <c r="F244" s="23">
        <f>1783.08/1000</f>
        <v>1.78308</v>
      </c>
      <c r="G244" s="23">
        <f>2272.92/1000</f>
        <v>2.2729200000000001</v>
      </c>
      <c r="H244" s="23">
        <f>8928/1000</f>
        <v>8.9280000000000008</v>
      </c>
      <c r="I244" s="16">
        <f>I245+I246+I252</f>
        <v>0</v>
      </c>
      <c r="J244" s="11">
        <f t="shared" si="61"/>
        <v>15.507000000000001</v>
      </c>
      <c r="K244" s="613"/>
      <c r="L244" s="613"/>
      <c r="M244" s="20"/>
    </row>
    <row r="245" spans="1:13" x14ac:dyDescent="0.2">
      <c r="A245" s="596"/>
      <c r="B245" s="584"/>
      <c r="C245" s="7">
        <v>2016</v>
      </c>
      <c r="D245" s="15">
        <f>E245+F245+G245+H245+I245</f>
        <v>16.019220000000001</v>
      </c>
      <c r="E245" s="23">
        <f>2652/1000</f>
        <v>2.6520000000000001</v>
      </c>
      <c r="F245" s="23">
        <f>1768.96/1000</f>
        <v>1.7689600000000001</v>
      </c>
      <c r="G245" s="23">
        <f>2313.26/1000</f>
        <v>2.3132600000000001</v>
      </c>
      <c r="H245" s="23">
        <f>9285/1000</f>
        <v>9.2850000000000001</v>
      </c>
      <c r="I245" s="16">
        <f>I246+I247+I253</f>
        <v>0</v>
      </c>
      <c r="J245" s="11">
        <f t="shared" si="61"/>
        <v>16.019220000000001</v>
      </c>
      <c r="K245" s="613"/>
      <c r="L245" s="613"/>
      <c r="M245" s="20"/>
    </row>
    <row r="246" spans="1:13" x14ac:dyDescent="0.2">
      <c r="A246" s="596"/>
      <c r="B246" s="584"/>
      <c r="C246" s="7">
        <v>2017</v>
      </c>
      <c r="D246" s="15">
        <f>E246+F246+G246+H246+I246</f>
        <v>16.787800000000001</v>
      </c>
      <c r="E246" s="23">
        <f>2652/1000</f>
        <v>2.6520000000000001</v>
      </c>
      <c r="F246" s="23">
        <f>1946.88/1000</f>
        <v>1.9468800000000002</v>
      </c>
      <c r="G246" s="23">
        <f>2545.92/1000</f>
        <v>2.5459200000000002</v>
      </c>
      <c r="H246" s="23">
        <f>9643/1000</f>
        <v>9.6430000000000007</v>
      </c>
      <c r="I246" s="16">
        <f>I247+I248+I254</f>
        <v>0</v>
      </c>
      <c r="J246" s="11">
        <f t="shared" si="61"/>
        <v>16.787800000000001</v>
      </c>
      <c r="K246" s="613"/>
      <c r="L246" s="613"/>
      <c r="M246" s="20"/>
    </row>
    <row r="247" spans="1:13" hidden="1" x14ac:dyDescent="0.2">
      <c r="A247" s="13"/>
      <c r="B247" s="24"/>
      <c r="C247" s="9" t="s">
        <v>198</v>
      </c>
      <c r="D247" s="16">
        <f>D248+D249+D255</f>
        <v>0</v>
      </c>
      <c r="E247" s="18"/>
      <c r="F247" s="16"/>
      <c r="G247" s="18"/>
      <c r="H247" s="17"/>
      <c r="I247" s="17"/>
      <c r="J247" s="11">
        <f t="shared" si="61"/>
        <v>0</v>
      </c>
      <c r="K247" s="20"/>
      <c r="L247" s="20"/>
      <c r="M247" s="20"/>
    </row>
    <row r="248" spans="1:13" hidden="1" x14ac:dyDescent="0.2">
      <c r="A248" s="13"/>
      <c r="B248" s="24"/>
      <c r="C248" s="7">
        <v>2015</v>
      </c>
      <c r="D248" s="15">
        <f>E248+F248+G248+H248+I248</f>
        <v>0</v>
      </c>
      <c r="E248" s="18"/>
      <c r="F248" s="16"/>
      <c r="G248" s="18"/>
      <c r="H248" s="17"/>
      <c r="I248" s="17"/>
      <c r="J248" s="11">
        <f t="shared" si="61"/>
        <v>0</v>
      </c>
      <c r="K248" s="20"/>
      <c r="L248" s="20"/>
      <c r="M248" s="20"/>
    </row>
    <row r="249" spans="1:13" hidden="1" x14ac:dyDescent="0.2">
      <c r="A249" s="13"/>
      <c r="B249" s="24"/>
      <c r="C249" s="7">
        <v>2016</v>
      </c>
      <c r="D249" s="15">
        <f>E249+F249+G249+H249+I249</f>
        <v>0</v>
      </c>
      <c r="E249" s="18"/>
      <c r="F249" s="16"/>
      <c r="G249" s="18"/>
      <c r="H249" s="17"/>
      <c r="I249" s="17"/>
      <c r="J249" s="11">
        <f t="shared" si="61"/>
        <v>0</v>
      </c>
    </row>
    <row r="250" spans="1:13" hidden="1" x14ac:dyDescent="0.2">
      <c r="A250" s="13"/>
      <c r="B250" s="24"/>
      <c r="C250" s="7">
        <v>2017</v>
      </c>
      <c r="D250" s="15">
        <f>E250+F250+G250+H250+I250</f>
        <v>0</v>
      </c>
      <c r="E250" s="18"/>
      <c r="F250" s="16"/>
      <c r="G250" s="18"/>
      <c r="H250" s="17"/>
      <c r="I250" s="17"/>
      <c r="J250" s="11">
        <f t="shared" si="61"/>
        <v>0</v>
      </c>
    </row>
    <row r="251" spans="1:13" hidden="1" x14ac:dyDescent="0.2">
      <c r="A251" s="13"/>
      <c r="B251" s="24"/>
      <c r="C251" s="7">
        <v>2017</v>
      </c>
      <c r="D251" s="15">
        <f>E251+F251+G251+H251+I251</f>
        <v>0</v>
      </c>
      <c r="E251" s="18"/>
      <c r="F251" s="16"/>
      <c r="G251" s="18"/>
      <c r="H251" s="17"/>
      <c r="I251" s="17"/>
      <c r="J251" s="11">
        <f t="shared" si="61"/>
        <v>0</v>
      </c>
    </row>
    <row r="252" spans="1:13" x14ac:dyDescent="0.2">
      <c r="A252" s="596" t="s">
        <v>113</v>
      </c>
      <c r="B252" s="615" t="s">
        <v>114</v>
      </c>
      <c r="C252" s="9" t="s">
        <v>198</v>
      </c>
      <c r="D252" s="16">
        <f t="shared" ref="D252:I252" si="73">D253+D254+D255</f>
        <v>618</v>
      </c>
      <c r="E252" s="16">
        <f t="shared" si="73"/>
        <v>0</v>
      </c>
      <c r="F252" s="16">
        <f t="shared" si="73"/>
        <v>0</v>
      </c>
      <c r="G252" s="16">
        <f t="shared" si="73"/>
        <v>0</v>
      </c>
      <c r="H252" s="16">
        <f t="shared" si="73"/>
        <v>618</v>
      </c>
      <c r="I252" s="16">
        <f t="shared" si="73"/>
        <v>0</v>
      </c>
      <c r="J252" s="11">
        <f t="shared" si="61"/>
        <v>618</v>
      </c>
    </row>
    <row r="253" spans="1:13" x14ac:dyDescent="0.2">
      <c r="A253" s="596"/>
      <c r="B253" s="615"/>
      <c r="C253" s="7">
        <v>2015</v>
      </c>
      <c r="D253" s="15">
        <f>E253+F253+G253+H253+I253</f>
        <v>609</v>
      </c>
      <c r="E253" s="18">
        <f>E257+E261+E265+E269</f>
        <v>0</v>
      </c>
      <c r="F253" s="18">
        <f>F257+F261+F265+F269</f>
        <v>0</v>
      </c>
      <c r="G253" s="18">
        <f>G257+G261+G265+G269</f>
        <v>0</v>
      </c>
      <c r="H253" s="18">
        <f>H257+H261+H265+H269</f>
        <v>609</v>
      </c>
      <c r="I253" s="18">
        <f>I257+I261+I265+I269</f>
        <v>0</v>
      </c>
      <c r="J253" s="11">
        <f t="shared" si="61"/>
        <v>609</v>
      </c>
    </row>
    <row r="254" spans="1:13" x14ac:dyDescent="0.2">
      <c r="A254" s="596"/>
      <c r="B254" s="615"/>
      <c r="C254" s="7">
        <v>2016</v>
      </c>
      <c r="D254" s="15">
        <f>E254+F254+G254+H254+I254</f>
        <v>9</v>
      </c>
      <c r="E254" s="18">
        <f t="shared" ref="E254:I255" si="74">E258+E262+E266+E270</f>
        <v>0</v>
      </c>
      <c r="F254" s="18">
        <f t="shared" si="74"/>
        <v>0</v>
      </c>
      <c r="G254" s="18">
        <f t="shared" si="74"/>
        <v>0</v>
      </c>
      <c r="H254" s="18">
        <f t="shared" si="74"/>
        <v>9</v>
      </c>
      <c r="I254" s="18">
        <f t="shared" si="74"/>
        <v>0</v>
      </c>
      <c r="J254" s="11">
        <f t="shared" si="61"/>
        <v>9</v>
      </c>
    </row>
    <row r="255" spans="1:13" x14ac:dyDescent="0.2">
      <c r="A255" s="596"/>
      <c r="B255" s="615"/>
      <c r="C255" s="7">
        <v>2017</v>
      </c>
      <c r="D255" s="15">
        <f>E255+F255+G255+H255+I255</f>
        <v>0</v>
      </c>
      <c r="E255" s="18">
        <f t="shared" si="74"/>
        <v>0</v>
      </c>
      <c r="F255" s="18">
        <f t="shared" si="74"/>
        <v>0</v>
      </c>
      <c r="G255" s="18">
        <f t="shared" si="74"/>
        <v>0</v>
      </c>
      <c r="H255" s="18">
        <f t="shared" si="74"/>
        <v>0</v>
      </c>
      <c r="I255" s="18">
        <f t="shared" si="74"/>
        <v>0</v>
      </c>
      <c r="J255" s="11">
        <f t="shared" si="61"/>
        <v>0</v>
      </c>
    </row>
    <row r="256" spans="1:13" x14ac:dyDescent="0.2">
      <c r="A256" s="596" t="s">
        <v>202</v>
      </c>
      <c r="B256" s="614" t="s">
        <v>115</v>
      </c>
      <c r="C256" s="9" t="s">
        <v>198</v>
      </c>
      <c r="D256" s="16">
        <f>D257+D258+D259</f>
        <v>18</v>
      </c>
      <c r="E256" s="16">
        <f>E257+E258+E259</f>
        <v>0</v>
      </c>
      <c r="F256" s="16">
        <f>F257+F258+F259</f>
        <v>0</v>
      </c>
      <c r="G256" s="16">
        <f>G257+G258+G259</f>
        <v>0</v>
      </c>
      <c r="H256" s="16">
        <f>H257+H258+H259</f>
        <v>18</v>
      </c>
      <c r="I256" s="15">
        <v>0</v>
      </c>
      <c r="J256" s="11">
        <f t="shared" si="61"/>
        <v>18</v>
      </c>
    </row>
    <row r="257" spans="1:10" x14ac:dyDescent="0.2">
      <c r="A257" s="596"/>
      <c r="B257" s="614"/>
      <c r="C257" s="7">
        <v>2015</v>
      </c>
      <c r="D257" s="15">
        <f>E257+F257+G257+H257+I257</f>
        <v>9</v>
      </c>
      <c r="E257" s="18">
        <v>0</v>
      </c>
      <c r="F257" s="18">
        <v>0</v>
      </c>
      <c r="G257" s="18">
        <v>0</v>
      </c>
      <c r="H257" s="17">
        <v>9</v>
      </c>
      <c r="I257" s="15">
        <v>0</v>
      </c>
      <c r="J257" s="11">
        <f t="shared" si="61"/>
        <v>9</v>
      </c>
    </row>
    <row r="258" spans="1:10" x14ac:dyDescent="0.2">
      <c r="A258" s="596"/>
      <c r="B258" s="614"/>
      <c r="C258" s="7">
        <v>2016</v>
      </c>
      <c r="D258" s="15">
        <f>E258+F258+G258+H258+I258</f>
        <v>9</v>
      </c>
      <c r="E258" s="18">
        <v>0</v>
      </c>
      <c r="F258" s="18">
        <v>0</v>
      </c>
      <c r="G258" s="18">
        <v>0</v>
      </c>
      <c r="H258" s="17">
        <v>9</v>
      </c>
      <c r="I258" s="15">
        <v>0</v>
      </c>
      <c r="J258" s="11">
        <f t="shared" si="61"/>
        <v>9</v>
      </c>
    </row>
    <row r="259" spans="1:10" x14ac:dyDescent="0.2">
      <c r="A259" s="596"/>
      <c r="B259" s="614"/>
      <c r="C259" s="7">
        <v>2017</v>
      </c>
      <c r="D259" s="15">
        <f>E259+F259+G259+H259+I259</f>
        <v>0</v>
      </c>
      <c r="E259" s="18">
        <v>0</v>
      </c>
      <c r="F259" s="18">
        <v>0</v>
      </c>
      <c r="G259" s="18">
        <v>0</v>
      </c>
      <c r="H259" s="17">
        <v>0</v>
      </c>
      <c r="I259" s="15">
        <v>0</v>
      </c>
      <c r="J259" s="11">
        <f t="shared" si="61"/>
        <v>0</v>
      </c>
    </row>
    <row r="260" spans="1:10" x14ac:dyDescent="0.2">
      <c r="A260" s="596" t="s">
        <v>203</v>
      </c>
      <c r="B260" s="614" t="s">
        <v>116</v>
      </c>
      <c r="C260" s="9" t="s">
        <v>198</v>
      </c>
      <c r="D260" s="16">
        <f t="shared" ref="D260:I260" si="75">D261+D262+D263</f>
        <v>0</v>
      </c>
      <c r="E260" s="16">
        <f t="shared" si="75"/>
        <v>0</v>
      </c>
      <c r="F260" s="16">
        <f t="shared" si="75"/>
        <v>0</v>
      </c>
      <c r="G260" s="16">
        <f t="shared" si="75"/>
        <v>0</v>
      </c>
      <c r="H260" s="16">
        <f t="shared" si="75"/>
        <v>0</v>
      </c>
      <c r="I260" s="16">
        <f t="shared" si="75"/>
        <v>0</v>
      </c>
      <c r="J260" s="11">
        <f t="shared" si="61"/>
        <v>0</v>
      </c>
    </row>
    <row r="261" spans="1:10" x14ac:dyDescent="0.2">
      <c r="A261" s="596"/>
      <c r="B261" s="614"/>
      <c r="C261" s="7">
        <v>2015</v>
      </c>
      <c r="D261" s="15">
        <f>E261+F261+G261+H261+I261</f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1"/>
    </row>
    <row r="262" spans="1:10" x14ac:dyDescent="0.2">
      <c r="A262" s="596"/>
      <c r="B262" s="614"/>
      <c r="C262" s="7">
        <v>2016</v>
      </c>
      <c r="D262" s="15">
        <f>E262+F262+G262+H262+I262</f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1"/>
    </row>
    <row r="263" spans="1:10" x14ac:dyDescent="0.2">
      <c r="A263" s="596"/>
      <c r="B263" s="614"/>
      <c r="C263" s="7">
        <v>2017</v>
      </c>
      <c r="D263" s="15">
        <f>E263+F263+G263+H263+I263</f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1"/>
    </row>
    <row r="264" spans="1:10" x14ac:dyDescent="0.2">
      <c r="A264" s="596" t="s">
        <v>204</v>
      </c>
      <c r="B264" s="597" t="s">
        <v>117</v>
      </c>
      <c r="C264" s="9" t="s">
        <v>198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1"/>
    </row>
    <row r="265" spans="1:10" x14ac:dyDescent="0.2">
      <c r="A265" s="596"/>
      <c r="B265" s="597"/>
      <c r="C265" s="7">
        <v>2015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1"/>
    </row>
    <row r="266" spans="1:10" x14ac:dyDescent="0.2">
      <c r="A266" s="596"/>
      <c r="B266" s="597"/>
      <c r="C266" s="7">
        <v>2016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1"/>
    </row>
    <row r="267" spans="1:10" x14ac:dyDescent="0.2">
      <c r="A267" s="596"/>
      <c r="B267" s="597"/>
      <c r="C267" s="7">
        <v>2017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1"/>
    </row>
    <row r="268" spans="1:10" x14ac:dyDescent="0.2">
      <c r="A268" s="596" t="s">
        <v>118</v>
      </c>
      <c r="B268" s="597" t="s">
        <v>119</v>
      </c>
      <c r="C268" s="9" t="s">
        <v>198</v>
      </c>
      <c r="D268" s="15">
        <v>600</v>
      </c>
      <c r="E268" s="15">
        <v>0</v>
      </c>
      <c r="F268" s="15">
        <v>0</v>
      </c>
      <c r="G268" s="15">
        <v>0</v>
      </c>
      <c r="H268" s="15">
        <v>600</v>
      </c>
      <c r="I268" s="15">
        <v>0</v>
      </c>
      <c r="J268" s="11"/>
    </row>
    <row r="269" spans="1:10" x14ac:dyDescent="0.2">
      <c r="A269" s="596"/>
      <c r="B269" s="597"/>
      <c r="C269" s="7">
        <v>2015</v>
      </c>
      <c r="D269" s="15">
        <v>600</v>
      </c>
      <c r="E269" s="15">
        <v>0</v>
      </c>
      <c r="F269" s="15">
        <v>0</v>
      </c>
      <c r="G269" s="15">
        <v>0</v>
      </c>
      <c r="H269" s="15">
        <v>600</v>
      </c>
      <c r="I269" s="15">
        <v>0</v>
      </c>
      <c r="J269" s="11"/>
    </row>
    <row r="270" spans="1:10" x14ac:dyDescent="0.2">
      <c r="A270" s="596"/>
      <c r="B270" s="597"/>
      <c r="C270" s="7">
        <v>2016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1"/>
    </row>
    <row r="271" spans="1:10" x14ac:dyDescent="0.2">
      <c r="A271" s="596"/>
      <c r="B271" s="597"/>
      <c r="C271" s="7">
        <v>2017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1"/>
    </row>
    <row r="272" spans="1:10" s="26" customFormat="1" ht="15.75" x14ac:dyDescent="0.25">
      <c r="A272" s="596" t="s">
        <v>120</v>
      </c>
      <c r="B272" s="612" t="s">
        <v>121</v>
      </c>
      <c r="C272" s="9" t="s">
        <v>198</v>
      </c>
      <c r="D272" s="25">
        <f t="shared" ref="D272:I272" si="76">D273+D274+D275</f>
        <v>822.96209999999996</v>
      </c>
      <c r="E272" s="25">
        <f t="shared" si="76"/>
        <v>1.8221000000000001</v>
      </c>
      <c r="F272" s="25">
        <f t="shared" si="76"/>
        <v>0</v>
      </c>
      <c r="G272" s="25">
        <f t="shared" si="76"/>
        <v>821.14</v>
      </c>
      <c r="H272" s="25">
        <f t="shared" si="76"/>
        <v>0</v>
      </c>
      <c r="I272" s="25">
        <f t="shared" si="76"/>
        <v>0</v>
      </c>
      <c r="J272" s="11">
        <f>E272+F272+G272+H272+I272</f>
        <v>822.96209999999996</v>
      </c>
    </row>
    <row r="273" spans="1:10" s="26" customFormat="1" ht="15.75" x14ac:dyDescent="0.25">
      <c r="A273" s="596"/>
      <c r="B273" s="612"/>
      <c r="C273" s="9">
        <v>2015</v>
      </c>
      <c r="D273" s="10">
        <f>E273+F273+G273+H273+I273</f>
        <v>552.86209999999994</v>
      </c>
      <c r="E273" s="25">
        <f>E277+E281+E285+E289+E293+E297+E301+E305+E309</f>
        <v>1.7221</v>
      </c>
      <c r="F273" s="25">
        <f>F277+F281+F285+F289+F293+F297+F301+F305+F309</f>
        <v>0</v>
      </c>
      <c r="G273" s="25">
        <f>G277+G281+G285+G289+G293+G297+G301+G305+G309</f>
        <v>551.14</v>
      </c>
      <c r="H273" s="25">
        <f t="shared" ref="H273:I275" si="77">H277+H281+H285+H289+H293+H297+H321+H301+H305</f>
        <v>0</v>
      </c>
      <c r="I273" s="25">
        <f t="shared" si="77"/>
        <v>0</v>
      </c>
      <c r="J273" s="11">
        <f t="shared" ref="J273:J336" si="78">E273+F273+G273+H273+I273</f>
        <v>552.86209999999994</v>
      </c>
    </row>
    <row r="274" spans="1:10" s="26" customFormat="1" ht="15.75" x14ac:dyDescent="0.25">
      <c r="A274" s="596"/>
      <c r="B274" s="612"/>
      <c r="C274" s="9">
        <v>2016</v>
      </c>
      <c r="D274" s="10">
        <f>E274+F274+G274+H274+I274</f>
        <v>130.05000000000001</v>
      </c>
      <c r="E274" s="25">
        <f t="shared" ref="E274:G275" si="79">E278+E282+E286+E290+E294+E298+E322+E302+E306+E310</f>
        <v>0.05</v>
      </c>
      <c r="F274" s="25">
        <f t="shared" si="79"/>
        <v>0</v>
      </c>
      <c r="G274" s="25">
        <f t="shared" si="79"/>
        <v>130</v>
      </c>
      <c r="H274" s="25">
        <f t="shared" si="77"/>
        <v>0</v>
      </c>
      <c r="I274" s="25">
        <f t="shared" si="77"/>
        <v>0</v>
      </c>
      <c r="J274" s="11">
        <f t="shared" si="78"/>
        <v>130.05000000000001</v>
      </c>
    </row>
    <row r="275" spans="1:10" s="26" customFormat="1" ht="15.75" x14ac:dyDescent="0.25">
      <c r="A275" s="596"/>
      <c r="B275" s="612"/>
      <c r="C275" s="9">
        <v>2017</v>
      </c>
      <c r="D275" s="10">
        <f>E275+F275+G275+H275+I275</f>
        <v>140.05000000000001</v>
      </c>
      <c r="E275" s="25">
        <f t="shared" si="79"/>
        <v>0.05</v>
      </c>
      <c r="F275" s="25">
        <f t="shared" si="79"/>
        <v>0</v>
      </c>
      <c r="G275" s="25">
        <f t="shared" si="79"/>
        <v>140</v>
      </c>
      <c r="H275" s="25">
        <f t="shared" si="77"/>
        <v>0</v>
      </c>
      <c r="I275" s="25">
        <f t="shared" si="77"/>
        <v>0</v>
      </c>
      <c r="J275" s="11">
        <f t="shared" si="78"/>
        <v>140.05000000000001</v>
      </c>
    </row>
    <row r="276" spans="1:10" x14ac:dyDescent="0.2">
      <c r="A276" s="596" t="s">
        <v>206</v>
      </c>
      <c r="B276" s="597" t="s">
        <v>122</v>
      </c>
      <c r="C276" s="9" t="s">
        <v>198</v>
      </c>
      <c r="D276" s="16">
        <f t="shared" ref="D276:I276" si="80">D277+D278+D279</f>
        <v>2.4420999999999999</v>
      </c>
      <c r="E276" s="16">
        <f t="shared" si="80"/>
        <v>0.1221</v>
      </c>
      <c r="F276" s="16">
        <f t="shared" si="80"/>
        <v>0</v>
      </c>
      <c r="G276" s="16">
        <f t="shared" si="80"/>
        <v>2.3199999999999998</v>
      </c>
      <c r="H276" s="16">
        <f t="shared" si="80"/>
        <v>0</v>
      </c>
      <c r="I276" s="16">
        <f t="shared" si="80"/>
        <v>0</v>
      </c>
      <c r="J276" s="11">
        <f t="shared" si="78"/>
        <v>2.4420999999999999</v>
      </c>
    </row>
    <row r="277" spans="1:10" x14ac:dyDescent="0.2">
      <c r="A277" s="596"/>
      <c r="B277" s="597"/>
      <c r="C277" s="7">
        <v>2015</v>
      </c>
      <c r="D277" s="15">
        <f>E277+F277+G277+H277+I277</f>
        <v>2.4420999999999999</v>
      </c>
      <c r="E277" s="15">
        <f>122.1/1000</f>
        <v>0.1221</v>
      </c>
      <c r="F277" s="15">
        <v>0</v>
      </c>
      <c r="G277" s="15">
        <f>2320/1000</f>
        <v>2.3199999999999998</v>
      </c>
      <c r="H277" s="15">
        <v>0</v>
      </c>
      <c r="I277" s="15">
        <v>0</v>
      </c>
      <c r="J277" s="11">
        <f t="shared" si="78"/>
        <v>2.4420999999999999</v>
      </c>
    </row>
    <row r="278" spans="1:10" x14ac:dyDescent="0.2">
      <c r="A278" s="596"/>
      <c r="B278" s="597"/>
      <c r="C278" s="7">
        <v>2016</v>
      </c>
      <c r="D278" s="15">
        <f>E278+F278+G278+H278+I278</f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1">
        <f t="shared" si="78"/>
        <v>0</v>
      </c>
    </row>
    <row r="279" spans="1:10" x14ac:dyDescent="0.2">
      <c r="A279" s="596"/>
      <c r="B279" s="597"/>
      <c r="C279" s="7">
        <v>2017</v>
      </c>
      <c r="D279" s="15">
        <f>E279+F279+G279+H279+I279</f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1">
        <f t="shared" si="78"/>
        <v>0</v>
      </c>
    </row>
    <row r="280" spans="1:10" x14ac:dyDescent="0.2">
      <c r="A280" s="596" t="s">
        <v>123</v>
      </c>
      <c r="B280" s="597" t="s">
        <v>124</v>
      </c>
      <c r="C280" s="9" t="s">
        <v>198</v>
      </c>
      <c r="D280" s="16">
        <f t="shared" ref="D280:I280" si="81">D281+D282+D283</f>
        <v>19</v>
      </c>
      <c r="E280" s="16">
        <f t="shared" si="81"/>
        <v>0.95</v>
      </c>
      <c r="F280" s="16">
        <f t="shared" si="81"/>
        <v>0</v>
      </c>
      <c r="G280" s="16">
        <f t="shared" si="81"/>
        <v>18.05</v>
      </c>
      <c r="H280" s="16">
        <f t="shared" si="81"/>
        <v>0</v>
      </c>
      <c r="I280" s="16">
        <f t="shared" si="81"/>
        <v>0</v>
      </c>
      <c r="J280" s="11">
        <f t="shared" si="78"/>
        <v>19</v>
      </c>
    </row>
    <row r="281" spans="1:10" x14ac:dyDescent="0.2">
      <c r="A281" s="596"/>
      <c r="B281" s="597"/>
      <c r="C281" s="7">
        <v>2015</v>
      </c>
      <c r="D281" s="15">
        <f>E281+F281+G281+H281+I281</f>
        <v>19</v>
      </c>
      <c r="E281" s="15">
        <f>950/1000</f>
        <v>0.95</v>
      </c>
      <c r="F281" s="15">
        <v>0</v>
      </c>
      <c r="G281" s="15">
        <f>18050/1000</f>
        <v>18.05</v>
      </c>
      <c r="H281" s="15">
        <v>0</v>
      </c>
      <c r="I281" s="15">
        <v>0</v>
      </c>
      <c r="J281" s="11">
        <f t="shared" si="78"/>
        <v>19</v>
      </c>
    </row>
    <row r="282" spans="1:10" x14ac:dyDescent="0.2">
      <c r="A282" s="596"/>
      <c r="B282" s="597"/>
      <c r="C282" s="7">
        <v>2016</v>
      </c>
      <c r="D282" s="15">
        <f>E282+F282+G282+H282+I282</f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1">
        <f t="shared" si="78"/>
        <v>0</v>
      </c>
    </row>
    <row r="283" spans="1:10" x14ac:dyDescent="0.2">
      <c r="A283" s="596"/>
      <c r="B283" s="597"/>
      <c r="C283" s="7">
        <v>2017</v>
      </c>
      <c r="D283" s="15">
        <f>E283+F283+G283+H283+I283</f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1">
        <f t="shared" si="78"/>
        <v>0</v>
      </c>
    </row>
    <row r="284" spans="1:10" x14ac:dyDescent="0.2">
      <c r="A284" s="596" t="s">
        <v>125</v>
      </c>
      <c r="B284" s="597" t="s">
        <v>126</v>
      </c>
      <c r="C284" s="9" t="s">
        <v>198</v>
      </c>
      <c r="D284" s="16">
        <f t="shared" ref="D284:I284" si="82">D285+D286+D287</f>
        <v>0.6</v>
      </c>
      <c r="E284" s="16">
        <f t="shared" si="82"/>
        <v>0.6</v>
      </c>
      <c r="F284" s="16">
        <f t="shared" si="82"/>
        <v>0</v>
      </c>
      <c r="G284" s="16">
        <f t="shared" si="82"/>
        <v>0</v>
      </c>
      <c r="H284" s="16">
        <f t="shared" si="82"/>
        <v>0</v>
      </c>
      <c r="I284" s="16">
        <f t="shared" si="82"/>
        <v>0</v>
      </c>
      <c r="J284" s="11">
        <f t="shared" si="78"/>
        <v>0.6</v>
      </c>
    </row>
    <row r="285" spans="1:10" x14ac:dyDescent="0.2">
      <c r="A285" s="596"/>
      <c r="B285" s="597"/>
      <c r="C285" s="7">
        <v>2015</v>
      </c>
      <c r="D285" s="15">
        <f>E285+F285+G285+H285+I285</f>
        <v>0.6</v>
      </c>
      <c r="E285" s="15">
        <f>600/1000</f>
        <v>0.6</v>
      </c>
      <c r="F285" s="15">
        <v>0</v>
      </c>
      <c r="G285" s="15">
        <v>0</v>
      </c>
      <c r="H285" s="15">
        <v>0</v>
      </c>
      <c r="I285" s="15">
        <v>0</v>
      </c>
      <c r="J285" s="11">
        <f t="shared" si="78"/>
        <v>0.6</v>
      </c>
    </row>
    <row r="286" spans="1:10" x14ac:dyDescent="0.2">
      <c r="A286" s="596"/>
      <c r="B286" s="597"/>
      <c r="C286" s="7">
        <v>2016</v>
      </c>
      <c r="D286" s="15">
        <f>E286+F286+G286+H286+I286</f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1">
        <f t="shared" si="78"/>
        <v>0</v>
      </c>
    </row>
    <row r="287" spans="1:10" x14ac:dyDescent="0.2">
      <c r="A287" s="596"/>
      <c r="B287" s="597"/>
      <c r="C287" s="7">
        <v>2017</v>
      </c>
      <c r="D287" s="15">
        <f>E287+F287+G287+H287+I287</f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1">
        <f t="shared" si="78"/>
        <v>0</v>
      </c>
    </row>
    <row r="288" spans="1:10" x14ac:dyDescent="0.2">
      <c r="A288" s="596" t="s">
        <v>127</v>
      </c>
      <c r="B288" s="597" t="s">
        <v>128</v>
      </c>
      <c r="C288" s="9" t="s">
        <v>198</v>
      </c>
      <c r="D288" s="16">
        <f t="shared" ref="D288:I288" si="83">D289+D290+D291</f>
        <v>400</v>
      </c>
      <c r="E288" s="16">
        <f t="shared" si="83"/>
        <v>0</v>
      </c>
      <c r="F288" s="16">
        <f t="shared" si="83"/>
        <v>0</v>
      </c>
      <c r="G288" s="16">
        <f t="shared" si="83"/>
        <v>400</v>
      </c>
      <c r="H288" s="16">
        <f t="shared" si="83"/>
        <v>0</v>
      </c>
      <c r="I288" s="16">
        <f t="shared" si="83"/>
        <v>0</v>
      </c>
      <c r="J288" s="11">
        <f t="shared" si="78"/>
        <v>400</v>
      </c>
    </row>
    <row r="289" spans="1:10" x14ac:dyDescent="0.2">
      <c r="A289" s="596"/>
      <c r="B289" s="597"/>
      <c r="C289" s="7">
        <v>2015</v>
      </c>
      <c r="D289" s="15">
        <f>E289+F289+G289+H289+I289</f>
        <v>130</v>
      </c>
      <c r="E289" s="15">
        <v>0</v>
      </c>
      <c r="F289" s="15">
        <v>0</v>
      </c>
      <c r="G289" s="15">
        <f>130000/1000</f>
        <v>130</v>
      </c>
      <c r="H289" s="15">
        <v>0</v>
      </c>
      <c r="I289" s="15">
        <v>0</v>
      </c>
      <c r="J289" s="11">
        <f t="shared" si="78"/>
        <v>130</v>
      </c>
    </row>
    <row r="290" spans="1:10" x14ac:dyDescent="0.2">
      <c r="A290" s="596"/>
      <c r="B290" s="597"/>
      <c r="C290" s="7">
        <v>2016</v>
      </c>
      <c r="D290" s="15">
        <f>E290+F290+G290+H290+I290</f>
        <v>130</v>
      </c>
      <c r="E290" s="15">
        <v>0</v>
      </c>
      <c r="F290" s="15">
        <v>0</v>
      </c>
      <c r="G290" s="15">
        <f>130000/1000</f>
        <v>130</v>
      </c>
      <c r="H290" s="15">
        <v>0</v>
      </c>
      <c r="I290" s="15">
        <v>0</v>
      </c>
      <c r="J290" s="11">
        <f t="shared" si="78"/>
        <v>130</v>
      </c>
    </row>
    <row r="291" spans="1:10" x14ac:dyDescent="0.2">
      <c r="A291" s="596"/>
      <c r="B291" s="597"/>
      <c r="C291" s="7">
        <v>2017</v>
      </c>
      <c r="D291" s="15">
        <f>E291+F291+G291+H291+I291</f>
        <v>140</v>
      </c>
      <c r="E291" s="15">
        <v>0</v>
      </c>
      <c r="F291" s="15">
        <v>0</v>
      </c>
      <c r="G291" s="15">
        <f>140000/1000</f>
        <v>140</v>
      </c>
      <c r="H291" s="15">
        <v>0</v>
      </c>
      <c r="I291" s="15">
        <v>0</v>
      </c>
      <c r="J291" s="11">
        <f t="shared" si="78"/>
        <v>140</v>
      </c>
    </row>
    <row r="292" spans="1:10" x14ac:dyDescent="0.2">
      <c r="A292" s="596" t="s">
        <v>129</v>
      </c>
      <c r="B292" s="597" t="s">
        <v>130</v>
      </c>
      <c r="C292" s="9" t="s">
        <v>198</v>
      </c>
      <c r="D292" s="16">
        <f t="shared" ref="D292:I292" si="84">D293+D294+D295</f>
        <v>0.77</v>
      </c>
      <c r="E292" s="16">
        <f t="shared" si="84"/>
        <v>0</v>
      </c>
      <c r="F292" s="16">
        <f t="shared" si="84"/>
        <v>0</v>
      </c>
      <c r="G292" s="16">
        <f t="shared" si="84"/>
        <v>0.77</v>
      </c>
      <c r="H292" s="16">
        <f t="shared" si="84"/>
        <v>0</v>
      </c>
      <c r="I292" s="16">
        <f t="shared" si="84"/>
        <v>0</v>
      </c>
      <c r="J292" s="11">
        <f t="shared" si="78"/>
        <v>0.77</v>
      </c>
    </row>
    <row r="293" spans="1:10" x14ac:dyDescent="0.2">
      <c r="A293" s="596"/>
      <c r="B293" s="597"/>
      <c r="C293" s="7">
        <v>2015</v>
      </c>
      <c r="D293" s="15">
        <f>E293+F293+G293+H293+I293</f>
        <v>0.77</v>
      </c>
      <c r="E293" s="15">
        <v>0</v>
      </c>
      <c r="F293" s="15">
        <v>0</v>
      </c>
      <c r="G293" s="15">
        <f>770/1000</f>
        <v>0.77</v>
      </c>
      <c r="H293" s="15">
        <v>0</v>
      </c>
      <c r="I293" s="15">
        <v>0</v>
      </c>
      <c r="J293" s="11">
        <f t="shared" si="78"/>
        <v>0.77</v>
      </c>
    </row>
    <row r="294" spans="1:10" x14ac:dyDescent="0.2">
      <c r="A294" s="596"/>
      <c r="B294" s="597"/>
      <c r="C294" s="7">
        <v>2016</v>
      </c>
      <c r="D294" s="15">
        <f>E294+F294+G294+H294+I294</f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1">
        <f t="shared" si="78"/>
        <v>0</v>
      </c>
    </row>
    <row r="295" spans="1:10" x14ac:dyDescent="0.2">
      <c r="A295" s="596"/>
      <c r="B295" s="597"/>
      <c r="C295" s="7">
        <v>2017</v>
      </c>
      <c r="D295" s="15">
        <f>E295+F295+G295+H295+I295</f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1">
        <f t="shared" si="78"/>
        <v>0</v>
      </c>
    </row>
    <row r="296" spans="1:10" x14ac:dyDescent="0.2">
      <c r="A296" s="596" t="s">
        <v>131</v>
      </c>
      <c r="B296" s="597" t="s">
        <v>132</v>
      </c>
      <c r="C296" s="9" t="s">
        <v>198</v>
      </c>
      <c r="D296" s="16">
        <f t="shared" ref="D296:I296" si="85">D297+D298+D299</f>
        <v>0.15000000000000002</v>
      </c>
      <c r="E296" s="16">
        <f t="shared" si="85"/>
        <v>0.15000000000000002</v>
      </c>
      <c r="F296" s="16">
        <f t="shared" si="85"/>
        <v>0</v>
      </c>
      <c r="G296" s="16">
        <f t="shared" si="85"/>
        <v>0</v>
      </c>
      <c r="H296" s="16">
        <f t="shared" si="85"/>
        <v>0</v>
      </c>
      <c r="I296" s="16">
        <f t="shared" si="85"/>
        <v>0</v>
      </c>
      <c r="J296" s="11">
        <f t="shared" si="78"/>
        <v>0.15000000000000002</v>
      </c>
    </row>
    <row r="297" spans="1:10" x14ac:dyDescent="0.2">
      <c r="A297" s="596"/>
      <c r="B297" s="597"/>
      <c r="C297" s="7">
        <v>2015</v>
      </c>
      <c r="D297" s="15">
        <f>E297+F297+G297+H297+I297</f>
        <v>0.05</v>
      </c>
      <c r="E297" s="15">
        <f>50/1000</f>
        <v>0.05</v>
      </c>
      <c r="F297" s="15">
        <v>0</v>
      </c>
      <c r="G297" s="15">
        <v>0</v>
      </c>
      <c r="H297" s="15">
        <v>0</v>
      </c>
      <c r="I297" s="15">
        <v>0</v>
      </c>
      <c r="J297" s="11">
        <f t="shared" si="78"/>
        <v>0.05</v>
      </c>
    </row>
    <row r="298" spans="1:10" x14ac:dyDescent="0.2">
      <c r="A298" s="596"/>
      <c r="B298" s="597"/>
      <c r="C298" s="7">
        <v>2016</v>
      </c>
      <c r="D298" s="15">
        <f>E298+F298+G298+H298+I298</f>
        <v>0.05</v>
      </c>
      <c r="E298" s="15">
        <f>50/1000</f>
        <v>0.05</v>
      </c>
      <c r="F298" s="15">
        <v>0</v>
      </c>
      <c r="G298" s="15">
        <v>0</v>
      </c>
      <c r="H298" s="15">
        <v>0</v>
      </c>
      <c r="I298" s="15">
        <v>0</v>
      </c>
      <c r="J298" s="11">
        <f t="shared" si="78"/>
        <v>0.05</v>
      </c>
    </row>
    <row r="299" spans="1:10" x14ac:dyDescent="0.2">
      <c r="A299" s="596"/>
      <c r="B299" s="597"/>
      <c r="C299" s="7">
        <v>2017</v>
      </c>
      <c r="D299" s="15">
        <f>E299+F299+G299+H299+I299</f>
        <v>0.05</v>
      </c>
      <c r="E299" s="15">
        <f>50/1000</f>
        <v>0.05</v>
      </c>
      <c r="F299" s="15">
        <v>0</v>
      </c>
      <c r="G299" s="15">
        <v>0</v>
      </c>
      <c r="H299" s="15">
        <v>0</v>
      </c>
      <c r="I299" s="15">
        <v>0</v>
      </c>
      <c r="J299" s="11">
        <f t="shared" si="78"/>
        <v>0.05</v>
      </c>
    </row>
    <row r="300" spans="1:10" x14ac:dyDescent="0.2">
      <c r="A300" s="596" t="s">
        <v>133</v>
      </c>
      <c r="B300" s="597" t="s">
        <v>134</v>
      </c>
      <c r="C300" s="9" t="s">
        <v>198</v>
      </c>
      <c r="D300" s="16">
        <f t="shared" ref="D300:I300" si="86">D301+D302+D303</f>
        <v>200</v>
      </c>
      <c r="E300" s="16">
        <f t="shared" si="86"/>
        <v>0</v>
      </c>
      <c r="F300" s="16">
        <f t="shared" si="86"/>
        <v>0</v>
      </c>
      <c r="G300" s="16">
        <f t="shared" si="86"/>
        <v>200</v>
      </c>
      <c r="H300" s="16">
        <f t="shared" si="86"/>
        <v>0</v>
      </c>
      <c r="I300" s="16">
        <f t="shared" si="86"/>
        <v>0</v>
      </c>
      <c r="J300" s="11">
        <f t="shared" si="78"/>
        <v>200</v>
      </c>
    </row>
    <row r="301" spans="1:10" x14ac:dyDescent="0.2">
      <c r="A301" s="596"/>
      <c r="B301" s="597"/>
      <c r="C301" s="7">
        <v>2015</v>
      </c>
      <c r="D301" s="15">
        <f>E301+F301+G301+H301+I301</f>
        <v>200</v>
      </c>
      <c r="E301" s="15">
        <v>0</v>
      </c>
      <c r="F301" s="15">
        <v>0</v>
      </c>
      <c r="G301" s="15">
        <f>200000/1000</f>
        <v>200</v>
      </c>
      <c r="H301" s="15">
        <v>0</v>
      </c>
      <c r="I301" s="15">
        <v>0</v>
      </c>
      <c r="J301" s="11">
        <f t="shared" si="78"/>
        <v>200</v>
      </c>
    </row>
    <row r="302" spans="1:10" x14ac:dyDescent="0.2">
      <c r="A302" s="596"/>
      <c r="B302" s="597"/>
      <c r="C302" s="7">
        <v>2016</v>
      </c>
      <c r="D302" s="15">
        <f>E302+F302+G302+H302+I302</f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1">
        <f t="shared" si="78"/>
        <v>0</v>
      </c>
    </row>
    <row r="303" spans="1:10" x14ac:dyDescent="0.2">
      <c r="A303" s="596"/>
      <c r="B303" s="597"/>
      <c r="C303" s="7">
        <v>2017</v>
      </c>
      <c r="D303" s="15">
        <f>E303+F303+G303+H303+I303</f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1">
        <f t="shared" si="78"/>
        <v>0</v>
      </c>
    </row>
    <row r="304" spans="1:10" x14ac:dyDescent="0.2">
      <c r="A304" s="596" t="s">
        <v>135</v>
      </c>
      <c r="B304" s="597" t="s">
        <v>136</v>
      </c>
      <c r="C304" s="9" t="s">
        <v>198</v>
      </c>
      <c r="D304" s="16">
        <f t="shared" ref="D304:I304" si="87">D305+D306+D307</f>
        <v>200</v>
      </c>
      <c r="E304" s="16">
        <f t="shared" si="87"/>
        <v>0</v>
      </c>
      <c r="F304" s="16">
        <f t="shared" si="87"/>
        <v>0</v>
      </c>
      <c r="G304" s="16">
        <f t="shared" si="87"/>
        <v>200</v>
      </c>
      <c r="H304" s="16">
        <f t="shared" si="87"/>
        <v>0</v>
      </c>
      <c r="I304" s="16">
        <f t="shared" si="87"/>
        <v>0</v>
      </c>
      <c r="J304" s="11">
        <f t="shared" si="78"/>
        <v>200</v>
      </c>
    </row>
    <row r="305" spans="1:10" x14ac:dyDescent="0.2">
      <c r="A305" s="596"/>
      <c r="B305" s="597"/>
      <c r="C305" s="7">
        <v>2015</v>
      </c>
      <c r="D305" s="15">
        <f t="shared" ref="D305:D315" si="88">E305+F305+G305+H305+I305</f>
        <v>200</v>
      </c>
      <c r="E305" s="15">
        <v>0</v>
      </c>
      <c r="F305" s="15">
        <v>0</v>
      </c>
      <c r="G305" s="15">
        <f>200000/1000</f>
        <v>200</v>
      </c>
      <c r="H305" s="15">
        <v>0</v>
      </c>
      <c r="I305" s="15">
        <v>0</v>
      </c>
      <c r="J305" s="11">
        <f t="shared" si="78"/>
        <v>200</v>
      </c>
    </row>
    <row r="306" spans="1:10" x14ac:dyDescent="0.2">
      <c r="A306" s="596"/>
      <c r="B306" s="597"/>
      <c r="C306" s="7">
        <v>2016</v>
      </c>
      <c r="D306" s="15">
        <f t="shared" si="88"/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1">
        <f t="shared" si="78"/>
        <v>0</v>
      </c>
    </row>
    <row r="307" spans="1:10" x14ac:dyDescent="0.2">
      <c r="A307" s="596"/>
      <c r="B307" s="597"/>
      <c r="C307" s="7">
        <v>2017</v>
      </c>
      <c r="D307" s="15">
        <f t="shared" si="88"/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1">
        <f t="shared" si="78"/>
        <v>0</v>
      </c>
    </row>
    <row r="308" spans="1:10" x14ac:dyDescent="0.2">
      <c r="A308" s="596" t="s">
        <v>137</v>
      </c>
      <c r="B308" s="609" t="s">
        <v>138</v>
      </c>
      <c r="C308" s="9" t="s">
        <v>198</v>
      </c>
      <c r="D308" s="15">
        <f>E308+F308+G308+H308+I308</f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1">
        <f t="shared" si="78"/>
        <v>0</v>
      </c>
    </row>
    <row r="309" spans="1:10" x14ac:dyDescent="0.2">
      <c r="A309" s="596"/>
      <c r="B309" s="609"/>
      <c r="C309" s="7">
        <v>2015</v>
      </c>
      <c r="D309" s="15">
        <f>E309+F309+G309+H309+I309</f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1">
        <f t="shared" si="78"/>
        <v>0</v>
      </c>
    </row>
    <row r="310" spans="1:10" x14ac:dyDescent="0.2">
      <c r="A310" s="596"/>
      <c r="B310" s="609"/>
      <c r="C310" s="7">
        <v>2016</v>
      </c>
      <c r="D310" s="15">
        <f>E310+F310+G310+H310+I310</f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1">
        <f t="shared" si="78"/>
        <v>0</v>
      </c>
    </row>
    <row r="311" spans="1:10" x14ac:dyDescent="0.2">
      <c r="A311" s="596"/>
      <c r="B311" s="609"/>
      <c r="C311" s="7">
        <v>2017</v>
      </c>
      <c r="D311" s="15">
        <f>E311+F311+G311+H311+I311</f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1">
        <f t="shared" si="78"/>
        <v>0</v>
      </c>
    </row>
    <row r="312" spans="1:10" s="12" customFormat="1" x14ac:dyDescent="0.2">
      <c r="A312" s="596" t="s">
        <v>139</v>
      </c>
      <c r="B312" s="610" t="s">
        <v>140</v>
      </c>
      <c r="C312" s="9" t="s">
        <v>198</v>
      </c>
      <c r="D312" s="10">
        <f t="shared" si="88"/>
        <v>114.5</v>
      </c>
      <c r="E312" s="25">
        <f>E313+E314+E315</f>
        <v>0</v>
      </c>
      <c r="F312" s="25">
        <f>F313+F314+F315</f>
        <v>0</v>
      </c>
      <c r="G312" s="25">
        <f>G313+G314+G315</f>
        <v>114.5</v>
      </c>
      <c r="H312" s="25">
        <f>H313+H314+H315</f>
        <v>0</v>
      </c>
      <c r="I312" s="25">
        <f>I313+I314+I315</f>
        <v>0</v>
      </c>
      <c r="J312" s="11">
        <f t="shared" si="78"/>
        <v>114.5</v>
      </c>
    </row>
    <row r="313" spans="1:10" s="12" customFormat="1" x14ac:dyDescent="0.2">
      <c r="A313" s="596"/>
      <c r="B313" s="610"/>
      <c r="C313" s="9">
        <v>2015</v>
      </c>
      <c r="D313" s="10">
        <f t="shared" si="88"/>
        <v>86.5</v>
      </c>
      <c r="E313" s="10">
        <v>0</v>
      </c>
      <c r="F313" s="10">
        <v>0</v>
      </c>
      <c r="G313" s="10">
        <f>G317+G321+G325+G329+G333</f>
        <v>86.5</v>
      </c>
      <c r="H313" s="10">
        <v>0</v>
      </c>
      <c r="I313" s="10">
        <v>0</v>
      </c>
      <c r="J313" s="11">
        <f t="shared" si="78"/>
        <v>86.5</v>
      </c>
    </row>
    <row r="314" spans="1:10" s="12" customFormat="1" x14ac:dyDescent="0.2">
      <c r="A314" s="596"/>
      <c r="B314" s="610"/>
      <c r="C314" s="9">
        <v>2016</v>
      </c>
      <c r="D314" s="10">
        <f t="shared" si="88"/>
        <v>14</v>
      </c>
      <c r="E314" s="10">
        <v>0</v>
      </c>
      <c r="F314" s="10">
        <v>0</v>
      </c>
      <c r="G314" s="10">
        <f>G318+G322+G326+G330+G334</f>
        <v>14</v>
      </c>
      <c r="H314" s="10">
        <v>0</v>
      </c>
      <c r="I314" s="10">
        <v>0</v>
      </c>
      <c r="J314" s="11">
        <f t="shared" si="78"/>
        <v>14</v>
      </c>
    </row>
    <row r="315" spans="1:10" s="12" customFormat="1" x14ac:dyDescent="0.2">
      <c r="A315" s="596"/>
      <c r="B315" s="610"/>
      <c r="C315" s="9">
        <v>2017</v>
      </c>
      <c r="D315" s="10">
        <f t="shared" si="88"/>
        <v>14</v>
      </c>
      <c r="E315" s="10">
        <v>0</v>
      </c>
      <c r="F315" s="10">
        <v>0</v>
      </c>
      <c r="G315" s="10">
        <f>G319+G323+G327+G331+G335</f>
        <v>14</v>
      </c>
      <c r="H315" s="10">
        <v>0</v>
      </c>
      <c r="I315" s="10">
        <v>0</v>
      </c>
      <c r="J315" s="11">
        <f t="shared" si="78"/>
        <v>14</v>
      </c>
    </row>
    <row r="316" spans="1:10" ht="12.75" customHeight="1" x14ac:dyDescent="0.2">
      <c r="A316" s="596" t="s">
        <v>207</v>
      </c>
      <c r="B316" s="609" t="s">
        <v>141</v>
      </c>
      <c r="C316" s="9" t="s">
        <v>198</v>
      </c>
      <c r="D316" s="16">
        <f t="shared" ref="D316:I316" si="89">D317+D318+D319</f>
        <v>28</v>
      </c>
      <c r="E316" s="16">
        <f t="shared" si="89"/>
        <v>0</v>
      </c>
      <c r="F316" s="16">
        <f t="shared" si="89"/>
        <v>0</v>
      </c>
      <c r="G316" s="16">
        <f t="shared" si="89"/>
        <v>28</v>
      </c>
      <c r="H316" s="16">
        <f t="shared" si="89"/>
        <v>0</v>
      </c>
      <c r="I316" s="16">
        <f t="shared" si="89"/>
        <v>0</v>
      </c>
      <c r="J316" s="11">
        <f t="shared" si="78"/>
        <v>28</v>
      </c>
    </row>
    <row r="317" spans="1:10" ht="12.75" customHeight="1" x14ac:dyDescent="0.2">
      <c r="A317" s="596"/>
      <c r="B317" s="609"/>
      <c r="C317" s="7">
        <v>2015</v>
      </c>
      <c r="D317" s="15">
        <f>E317+F317+G317+H317+I317</f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1">
        <f t="shared" si="78"/>
        <v>0</v>
      </c>
    </row>
    <row r="318" spans="1:10" x14ac:dyDescent="0.2">
      <c r="A318" s="596"/>
      <c r="B318" s="609"/>
      <c r="C318" s="7">
        <v>2016</v>
      </c>
      <c r="D318" s="15">
        <f>E318+F318+G318+H318+I318</f>
        <v>14</v>
      </c>
      <c r="E318" s="15">
        <v>0</v>
      </c>
      <c r="F318" s="15">
        <v>0</v>
      </c>
      <c r="G318" s="16">
        <v>14</v>
      </c>
      <c r="H318" s="15">
        <v>0</v>
      </c>
      <c r="I318" s="15">
        <v>0</v>
      </c>
      <c r="J318" s="11">
        <f t="shared" si="78"/>
        <v>14</v>
      </c>
    </row>
    <row r="319" spans="1:10" x14ac:dyDescent="0.2">
      <c r="A319" s="596"/>
      <c r="B319" s="609"/>
      <c r="C319" s="27">
        <v>2017</v>
      </c>
      <c r="D319" s="15">
        <f>E319+F319+G319+H319+I319</f>
        <v>14</v>
      </c>
      <c r="E319" s="15">
        <v>0</v>
      </c>
      <c r="F319" s="15">
        <v>0</v>
      </c>
      <c r="G319" s="16">
        <v>14</v>
      </c>
      <c r="H319" s="15">
        <v>0</v>
      </c>
      <c r="I319" s="15">
        <v>0</v>
      </c>
      <c r="J319" s="11">
        <f t="shared" si="78"/>
        <v>14</v>
      </c>
    </row>
    <row r="320" spans="1:10" x14ac:dyDescent="0.2">
      <c r="A320" s="596" t="s">
        <v>208</v>
      </c>
      <c r="B320" s="597" t="s">
        <v>142</v>
      </c>
      <c r="C320" s="9" t="s">
        <v>198</v>
      </c>
      <c r="D320" s="16">
        <f t="shared" ref="D320:I320" si="90">D321+D322+D323</f>
        <v>31</v>
      </c>
      <c r="E320" s="16">
        <f t="shared" si="90"/>
        <v>0</v>
      </c>
      <c r="F320" s="16">
        <f t="shared" si="90"/>
        <v>0</v>
      </c>
      <c r="G320" s="16">
        <f t="shared" si="90"/>
        <v>31</v>
      </c>
      <c r="H320" s="16">
        <f t="shared" si="90"/>
        <v>0</v>
      </c>
      <c r="I320" s="16">
        <f t="shared" si="90"/>
        <v>0</v>
      </c>
      <c r="J320" s="11">
        <f t="shared" si="78"/>
        <v>31</v>
      </c>
    </row>
    <row r="321" spans="1:11" ht="19.5" customHeight="1" x14ac:dyDescent="0.2">
      <c r="A321" s="596"/>
      <c r="B321" s="597"/>
      <c r="C321" s="7">
        <v>2015</v>
      </c>
      <c r="D321" s="15">
        <f>E321+F321+G321+H321+I321</f>
        <v>31</v>
      </c>
      <c r="E321" s="15">
        <v>0</v>
      </c>
      <c r="F321" s="15">
        <v>0</v>
      </c>
      <c r="G321" s="15">
        <v>31</v>
      </c>
      <c r="H321" s="15">
        <v>0</v>
      </c>
      <c r="I321" s="15">
        <v>0</v>
      </c>
      <c r="J321" s="11">
        <f t="shared" si="78"/>
        <v>31</v>
      </c>
    </row>
    <row r="322" spans="1:11" x14ac:dyDescent="0.2">
      <c r="A322" s="596"/>
      <c r="B322" s="597"/>
      <c r="C322" s="7">
        <v>2016</v>
      </c>
      <c r="D322" s="15">
        <f>E322+F322+G322+H322+I322</f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1">
        <f t="shared" si="78"/>
        <v>0</v>
      </c>
    </row>
    <row r="323" spans="1:11" x14ac:dyDescent="0.2">
      <c r="A323" s="596"/>
      <c r="B323" s="597"/>
      <c r="C323" s="7">
        <v>2017</v>
      </c>
      <c r="D323" s="15">
        <f>E323+F323+G323+H323+I323</f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1">
        <f t="shared" si="78"/>
        <v>0</v>
      </c>
    </row>
    <row r="324" spans="1:11" ht="15.75" customHeight="1" x14ac:dyDescent="0.2">
      <c r="A324" s="596" t="s">
        <v>209</v>
      </c>
      <c r="B324" s="611" t="s">
        <v>143</v>
      </c>
      <c r="C324" s="9" t="s">
        <v>198</v>
      </c>
      <c r="D324" s="16">
        <f t="shared" ref="D324:I324" si="91">D325+D326+D327</f>
        <v>12</v>
      </c>
      <c r="E324" s="16">
        <f t="shared" si="91"/>
        <v>0</v>
      </c>
      <c r="F324" s="16">
        <f t="shared" si="91"/>
        <v>0</v>
      </c>
      <c r="G324" s="16">
        <f t="shared" si="91"/>
        <v>12</v>
      </c>
      <c r="H324" s="16">
        <f t="shared" si="91"/>
        <v>0</v>
      </c>
      <c r="I324" s="16">
        <f t="shared" si="91"/>
        <v>0</v>
      </c>
      <c r="J324" s="11">
        <f t="shared" si="78"/>
        <v>12</v>
      </c>
    </row>
    <row r="325" spans="1:11" x14ac:dyDescent="0.2">
      <c r="A325" s="596"/>
      <c r="B325" s="611"/>
      <c r="C325" s="7">
        <v>2015</v>
      </c>
      <c r="D325" s="15">
        <f>E325+F325+G325+H325+I325</f>
        <v>12</v>
      </c>
      <c r="E325" s="15">
        <v>0</v>
      </c>
      <c r="F325" s="15">
        <v>0</v>
      </c>
      <c r="G325" s="15">
        <v>12</v>
      </c>
      <c r="H325" s="15">
        <v>0</v>
      </c>
      <c r="I325" s="15">
        <v>0</v>
      </c>
      <c r="J325" s="11">
        <f t="shared" si="78"/>
        <v>12</v>
      </c>
    </row>
    <row r="326" spans="1:11" x14ac:dyDescent="0.2">
      <c r="A326" s="596"/>
      <c r="B326" s="611"/>
      <c r="C326" s="7">
        <v>2016</v>
      </c>
      <c r="D326" s="15">
        <f>E326+F326+G326+H326+I326</f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1">
        <f t="shared" si="78"/>
        <v>0</v>
      </c>
    </row>
    <row r="327" spans="1:11" x14ac:dyDescent="0.2">
      <c r="A327" s="596"/>
      <c r="B327" s="611"/>
      <c r="C327" s="27">
        <v>2017</v>
      </c>
      <c r="D327" s="15">
        <f>E327+F327+G327+H327+I327</f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1">
        <f t="shared" si="78"/>
        <v>0</v>
      </c>
    </row>
    <row r="328" spans="1:11" x14ac:dyDescent="0.2">
      <c r="A328" s="596" t="s">
        <v>210</v>
      </c>
      <c r="B328" s="593" t="s">
        <v>144</v>
      </c>
      <c r="C328" s="9" t="s">
        <v>198</v>
      </c>
      <c r="D328" s="16">
        <f>D329+D330+D331</f>
        <v>42</v>
      </c>
      <c r="E328" s="16">
        <f t="shared" ref="E328:F331" si="92">E329+E330+E331</f>
        <v>0</v>
      </c>
      <c r="F328" s="16">
        <f t="shared" si="92"/>
        <v>0</v>
      </c>
      <c r="G328" s="16">
        <f>G329+G330+G331</f>
        <v>42</v>
      </c>
      <c r="H328" s="16">
        <f>H329+H330+H331</f>
        <v>0</v>
      </c>
      <c r="I328" s="16">
        <f>I329+I330+I331</f>
        <v>0</v>
      </c>
      <c r="J328" s="11">
        <f t="shared" si="78"/>
        <v>42</v>
      </c>
    </row>
    <row r="329" spans="1:11" x14ac:dyDescent="0.2">
      <c r="A329" s="596"/>
      <c r="B329" s="593"/>
      <c r="C329" s="7">
        <v>2015</v>
      </c>
      <c r="D329" s="15">
        <f>E329+F329+G329+H329+I329</f>
        <v>42</v>
      </c>
      <c r="E329" s="16">
        <f t="shared" si="92"/>
        <v>0</v>
      </c>
      <c r="F329" s="16">
        <f t="shared" si="92"/>
        <v>0</v>
      </c>
      <c r="G329" s="15">
        <v>42</v>
      </c>
      <c r="H329" s="16">
        <f t="shared" ref="H329:I332" si="93">H330+H331+H332</f>
        <v>0</v>
      </c>
      <c r="I329" s="16">
        <f t="shared" si="93"/>
        <v>0</v>
      </c>
      <c r="J329" s="11">
        <f t="shared" si="78"/>
        <v>42</v>
      </c>
    </row>
    <row r="330" spans="1:11" x14ac:dyDescent="0.2">
      <c r="A330" s="596"/>
      <c r="B330" s="593"/>
      <c r="C330" s="7">
        <v>2016</v>
      </c>
      <c r="D330" s="15">
        <f>E330+F330+G330+H330+I330</f>
        <v>0</v>
      </c>
      <c r="E330" s="16">
        <f t="shared" si="92"/>
        <v>0</v>
      </c>
      <c r="F330" s="16">
        <f t="shared" si="92"/>
        <v>0</v>
      </c>
      <c r="G330" s="15">
        <v>0</v>
      </c>
      <c r="H330" s="16">
        <f t="shared" si="93"/>
        <v>0</v>
      </c>
      <c r="I330" s="16">
        <f t="shared" si="93"/>
        <v>0</v>
      </c>
      <c r="J330" s="11">
        <f t="shared" si="78"/>
        <v>0</v>
      </c>
    </row>
    <row r="331" spans="1:11" x14ac:dyDescent="0.2">
      <c r="A331" s="596"/>
      <c r="B331" s="593"/>
      <c r="C331" s="27">
        <v>2017</v>
      </c>
      <c r="D331" s="15">
        <f>E331+F331+G331+H331+I331</f>
        <v>0</v>
      </c>
      <c r="E331" s="16">
        <f t="shared" si="92"/>
        <v>0</v>
      </c>
      <c r="F331" s="16">
        <f t="shared" si="92"/>
        <v>0</v>
      </c>
      <c r="G331" s="15">
        <v>0</v>
      </c>
      <c r="H331" s="16">
        <f t="shared" si="93"/>
        <v>0</v>
      </c>
      <c r="I331" s="16">
        <f t="shared" si="93"/>
        <v>0</v>
      </c>
      <c r="J331" s="11">
        <f t="shared" si="78"/>
        <v>0</v>
      </c>
    </row>
    <row r="332" spans="1:11" x14ac:dyDescent="0.2">
      <c r="A332" s="596" t="s">
        <v>145</v>
      </c>
      <c r="B332" s="593" t="s">
        <v>146</v>
      </c>
      <c r="C332" s="9" t="s">
        <v>198</v>
      </c>
      <c r="D332" s="16">
        <f>D333+D334+D348</f>
        <v>1.5</v>
      </c>
      <c r="E332" s="16">
        <f>E333+E334+E335</f>
        <v>0</v>
      </c>
      <c r="F332" s="16">
        <f>F333+F334+F335</f>
        <v>0</v>
      </c>
      <c r="G332" s="15">
        <v>1.5</v>
      </c>
      <c r="H332" s="16">
        <f t="shared" si="93"/>
        <v>0</v>
      </c>
      <c r="I332" s="16">
        <f t="shared" si="93"/>
        <v>0</v>
      </c>
      <c r="J332" s="11">
        <f t="shared" si="78"/>
        <v>1.5</v>
      </c>
    </row>
    <row r="333" spans="1:11" x14ac:dyDescent="0.2">
      <c r="A333" s="596"/>
      <c r="B333" s="593"/>
      <c r="C333" s="7">
        <v>2015</v>
      </c>
      <c r="D333" s="15">
        <f>E333+F333+G333+H333+I333</f>
        <v>1.5</v>
      </c>
      <c r="E333" s="15">
        <v>0</v>
      </c>
      <c r="F333" s="15">
        <v>0</v>
      </c>
      <c r="G333" s="15">
        <v>1.5</v>
      </c>
      <c r="H333" s="15">
        <v>0</v>
      </c>
      <c r="I333" s="15">
        <v>0</v>
      </c>
      <c r="J333" s="11">
        <f t="shared" si="78"/>
        <v>1.5</v>
      </c>
    </row>
    <row r="334" spans="1:11" x14ac:dyDescent="0.2">
      <c r="A334" s="596"/>
      <c r="B334" s="593"/>
      <c r="C334" s="7">
        <v>2016</v>
      </c>
      <c r="D334" s="15">
        <f>E334+F334+G334+H334+I334</f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1">
        <f t="shared" si="78"/>
        <v>0</v>
      </c>
    </row>
    <row r="335" spans="1:11" x14ac:dyDescent="0.2">
      <c r="A335" s="596"/>
      <c r="B335" s="593"/>
      <c r="C335" s="27">
        <v>2017</v>
      </c>
      <c r="D335" s="15">
        <f>E335+F335+G335+H335+I335</f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1">
        <f t="shared" si="78"/>
        <v>0</v>
      </c>
    </row>
    <row r="336" spans="1:11" s="26" customFormat="1" ht="15.75" x14ac:dyDescent="0.25">
      <c r="A336" s="596" t="s">
        <v>147</v>
      </c>
      <c r="B336" s="612" t="s">
        <v>214</v>
      </c>
      <c r="C336" s="9" t="s">
        <v>198</v>
      </c>
      <c r="D336" s="25">
        <f t="shared" ref="D336:I336" si="94">D337+D338+D339</f>
        <v>147.4307</v>
      </c>
      <c r="E336" s="25">
        <f t="shared" si="94"/>
        <v>8.2619999999999999E-2</v>
      </c>
      <c r="F336" s="25">
        <f t="shared" si="94"/>
        <v>23.914699999999996</v>
      </c>
      <c r="G336" s="25">
        <f t="shared" si="94"/>
        <v>79.808999999999997</v>
      </c>
      <c r="H336" s="25">
        <f t="shared" si="94"/>
        <v>43.624379999999995</v>
      </c>
      <c r="I336" s="25">
        <f t="shared" si="94"/>
        <v>0</v>
      </c>
      <c r="J336" s="11">
        <f t="shared" si="78"/>
        <v>147.4307</v>
      </c>
      <c r="K336" s="28"/>
    </row>
    <row r="337" spans="1:10" s="26" customFormat="1" ht="15.75" x14ac:dyDescent="0.25">
      <c r="A337" s="596"/>
      <c r="B337" s="612"/>
      <c r="C337" s="9">
        <v>2015</v>
      </c>
      <c r="D337" s="10">
        <f>E337+F337+G337+H337+I337</f>
        <v>52.641100000000009</v>
      </c>
      <c r="E337" s="10">
        <f>E345</f>
        <v>8.2619999999999999E-2</v>
      </c>
      <c r="F337" s="10">
        <f>F345+F341</f>
        <v>10.4</v>
      </c>
      <c r="G337" s="10">
        <f>G345+G341</f>
        <v>26.769100000000002</v>
      </c>
      <c r="H337" s="10">
        <f>H345+H341</f>
        <v>15.389379999999999</v>
      </c>
      <c r="I337" s="10">
        <f>I345+I341</f>
        <v>0</v>
      </c>
      <c r="J337" s="11">
        <f t="shared" ref="J337:J400" si="95">E337+F337+G337+H337+I337</f>
        <v>52.641100000000009</v>
      </c>
    </row>
    <row r="338" spans="1:10" s="26" customFormat="1" ht="15.75" x14ac:dyDescent="0.25">
      <c r="A338" s="596"/>
      <c r="B338" s="612"/>
      <c r="C338" s="9">
        <v>2016</v>
      </c>
      <c r="D338" s="10">
        <f>E338+F338+G338+H338+I338</f>
        <v>46.427999999999997</v>
      </c>
      <c r="E338" s="10">
        <f>E346</f>
        <v>0</v>
      </c>
      <c r="F338" s="10">
        <f t="shared" ref="F338:I339" si="96">F346+F342</f>
        <v>4.5048999999999992</v>
      </c>
      <c r="G338" s="10">
        <f t="shared" si="96"/>
        <v>22.505100000000002</v>
      </c>
      <c r="H338" s="10">
        <f>H346+H342</f>
        <v>19.417999999999999</v>
      </c>
      <c r="I338" s="10">
        <f t="shared" si="96"/>
        <v>0</v>
      </c>
      <c r="J338" s="11">
        <f t="shared" si="95"/>
        <v>46.427999999999997</v>
      </c>
    </row>
    <row r="339" spans="1:10" s="26" customFormat="1" ht="15.75" x14ac:dyDescent="0.25">
      <c r="A339" s="596"/>
      <c r="B339" s="612"/>
      <c r="C339" s="9">
        <v>2017</v>
      </c>
      <c r="D339" s="10">
        <f>E339+F339+G339+H339+I339</f>
        <v>48.361599999999996</v>
      </c>
      <c r="E339" s="10">
        <f>E347</f>
        <v>0</v>
      </c>
      <c r="F339" s="10">
        <f t="shared" si="96"/>
        <v>9.0097999999999985</v>
      </c>
      <c r="G339" s="10">
        <f t="shared" si="96"/>
        <v>30.534799999999997</v>
      </c>
      <c r="H339" s="10">
        <f t="shared" si="96"/>
        <v>8.8170000000000002</v>
      </c>
      <c r="I339" s="10">
        <f t="shared" si="96"/>
        <v>0</v>
      </c>
      <c r="J339" s="11">
        <f t="shared" si="95"/>
        <v>48.361599999999996</v>
      </c>
    </row>
    <row r="340" spans="1:10" ht="18" customHeight="1" x14ac:dyDescent="0.2">
      <c r="A340" s="596" t="s">
        <v>211</v>
      </c>
      <c r="B340" s="597" t="s">
        <v>148</v>
      </c>
      <c r="C340" s="9" t="s">
        <v>198</v>
      </c>
      <c r="D340" s="15">
        <f t="shared" ref="D340:I340" si="97">D341+D342+D343</f>
        <v>31.1</v>
      </c>
      <c r="E340" s="15">
        <f t="shared" si="97"/>
        <v>0</v>
      </c>
      <c r="F340" s="15">
        <f t="shared" si="97"/>
        <v>10.4</v>
      </c>
      <c r="G340" s="15">
        <f t="shared" si="97"/>
        <v>6.1</v>
      </c>
      <c r="H340" s="15">
        <f t="shared" si="97"/>
        <v>14.6</v>
      </c>
      <c r="I340" s="15">
        <f t="shared" si="97"/>
        <v>0</v>
      </c>
      <c r="J340" s="11">
        <f t="shared" si="95"/>
        <v>31.1</v>
      </c>
    </row>
    <row r="341" spans="1:10" ht="12.75" customHeight="1" x14ac:dyDescent="0.2">
      <c r="A341" s="596"/>
      <c r="B341" s="597"/>
      <c r="C341" s="7">
        <v>2015</v>
      </c>
      <c r="D341" s="15">
        <v>14.4</v>
      </c>
      <c r="E341" s="15">
        <v>0</v>
      </c>
      <c r="F341" s="15">
        <v>10.4</v>
      </c>
      <c r="G341" s="15">
        <v>0</v>
      </c>
      <c r="H341" s="15">
        <v>4</v>
      </c>
      <c r="I341" s="15">
        <v>0</v>
      </c>
      <c r="J341" s="11">
        <f t="shared" si="95"/>
        <v>14.4</v>
      </c>
    </row>
    <row r="342" spans="1:10" ht="12.75" customHeight="1" x14ac:dyDescent="0.2">
      <c r="A342" s="596"/>
      <c r="B342" s="597"/>
      <c r="C342" s="7">
        <v>2016</v>
      </c>
      <c r="D342" s="15">
        <v>10.6</v>
      </c>
      <c r="E342" s="15">
        <v>0</v>
      </c>
      <c r="F342" s="15">
        <v>0</v>
      </c>
      <c r="G342" s="15">
        <v>0</v>
      </c>
      <c r="H342" s="15">
        <v>10.6</v>
      </c>
      <c r="I342" s="15">
        <v>0</v>
      </c>
      <c r="J342" s="11">
        <f t="shared" si="95"/>
        <v>10.6</v>
      </c>
    </row>
    <row r="343" spans="1:10" ht="12.75" customHeight="1" x14ac:dyDescent="0.2">
      <c r="A343" s="596"/>
      <c r="B343" s="597"/>
      <c r="C343" s="7">
        <v>2017</v>
      </c>
      <c r="D343" s="15">
        <v>6.1</v>
      </c>
      <c r="E343" s="15">
        <v>0</v>
      </c>
      <c r="F343" s="15">
        <v>0</v>
      </c>
      <c r="G343" s="15">
        <v>6.1</v>
      </c>
      <c r="H343" s="15">
        <v>0</v>
      </c>
      <c r="I343" s="15">
        <v>0</v>
      </c>
      <c r="J343" s="11">
        <f t="shared" si="95"/>
        <v>6.1</v>
      </c>
    </row>
    <row r="344" spans="1:10" x14ac:dyDescent="0.2">
      <c r="A344" s="596" t="s">
        <v>212</v>
      </c>
      <c r="B344" s="594" t="s">
        <v>149</v>
      </c>
      <c r="C344" s="9" t="s">
        <v>198</v>
      </c>
      <c r="D344" s="16">
        <f t="shared" ref="D344:I344" si="98">D345+D346+D347</f>
        <v>116.33070000000001</v>
      </c>
      <c r="E344" s="16">
        <f t="shared" si="98"/>
        <v>8.2619999999999999E-2</v>
      </c>
      <c r="F344" s="16">
        <f t="shared" si="98"/>
        <v>13.514699999999998</v>
      </c>
      <c r="G344" s="16">
        <f t="shared" si="98"/>
        <v>73.709000000000003</v>
      </c>
      <c r="H344" s="16">
        <f t="shared" si="98"/>
        <v>29.024380000000001</v>
      </c>
      <c r="I344" s="16">
        <f t="shared" si="98"/>
        <v>0</v>
      </c>
      <c r="J344" s="11">
        <f t="shared" si="95"/>
        <v>116.33070000000001</v>
      </c>
    </row>
    <row r="345" spans="1:10" x14ac:dyDescent="0.2">
      <c r="A345" s="596"/>
      <c r="B345" s="594"/>
      <c r="C345" s="7">
        <v>2015</v>
      </c>
      <c r="D345" s="15">
        <f t="shared" ref="D345:I347" si="99">D369</f>
        <v>38.241100000000003</v>
      </c>
      <c r="E345" s="15">
        <f t="shared" si="99"/>
        <v>8.2619999999999999E-2</v>
      </c>
      <c r="F345" s="15">
        <f t="shared" si="99"/>
        <v>0</v>
      </c>
      <c r="G345" s="15">
        <f t="shared" si="99"/>
        <v>26.769100000000002</v>
      </c>
      <c r="H345" s="15">
        <f t="shared" si="99"/>
        <v>11.389379999999999</v>
      </c>
      <c r="I345" s="15">
        <f t="shared" si="99"/>
        <v>0</v>
      </c>
      <c r="J345" s="11">
        <f t="shared" si="95"/>
        <v>38.241100000000003</v>
      </c>
    </row>
    <row r="346" spans="1:10" x14ac:dyDescent="0.2">
      <c r="A346" s="596"/>
      <c r="B346" s="594"/>
      <c r="C346" s="7">
        <v>2016</v>
      </c>
      <c r="D346" s="15">
        <f t="shared" si="99"/>
        <v>35.828000000000003</v>
      </c>
      <c r="E346" s="15">
        <f t="shared" si="99"/>
        <v>0</v>
      </c>
      <c r="F346" s="15">
        <f t="shared" si="99"/>
        <v>4.5048999999999992</v>
      </c>
      <c r="G346" s="15">
        <f t="shared" si="99"/>
        <v>22.505100000000002</v>
      </c>
      <c r="H346" s="15">
        <f t="shared" si="99"/>
        <v>8.8179999999999996</v>
      </c>
      <c r="I346" s="15">
        <f t="shared" si="99"/>
        <v>0</v>
      </c>
      <c r="J346" s="11">
        <f t="shared" si="95"/>
        <v>35.828000000000003</v>
      </c>
    </row>
    <row r="347" spans="1:10" x14ac:dyDescent="0.2">
      <c r="A347" s="596"/>
      <c r="B347" s="594"/>
      <c r="C347" s="7">
        <v>2017</v>
      </c>
      <c r="D347" s="15">
        <f t="shared" si="99"/>
        <v>42.261600000000001</v>
      </c>
      <c r="E347" s="15">
        <f t="shared" si="99"/>
        <v>0</v>
      </c>
      <c r="F347" s="15">
        <f t="shared" si="99"/>
        <v>9.0097999999999985</v>
      </c>
      <c r="G347" s="15">
        <f t="shared" si="99"/>
        <v>24.434799999999999</v>
      </c>
      <c r="H347" s="15">
        <f t="shared" si="99"/>
        <v>8.8170000000000002</v>
      </c>
      <c r="I347" s="15">
        <f t="shared" si="99"/>
        <v>0</v>
      </c>
      <c r="J347" s="11">
        <f t="shared" si="95"/>
        <v>42.261599999999994</v>
      </c>
    </row>
    <row r="348" spans="1:10" x14ac:dyDescent="0.2">
      <c r="A348" s="596" t="s">
        <v>150</v>
      </c>
      <c r="B348" s="594" t="s">
        <v>151</v>
      </c>
      <c r="C348" s="9" t="s">
        <v>198</v>
      </c>
      <c r="D348" s="16">
        <f t="shared" ref="D348:I348" si="100">D349+D350+D351</f>
        <v>0</v>
      </c>
      <c r="E348" s="16">
        <f t="shared" si="100"/>
        <v>0</v>
      </c>
      <c r="F348" s="16">
        <f t="shared" si="100"/>
        <v>0</v>
      </c>
      <c r="G348" s="16">
        <f t="shared" si="100"/>
        <v>0</v>
      </c>
      <c r="H348" s="16">
        <f t="shared" si="100"/>
        <v>0</v>
      </c>
      <c r="I348" s="16">
        <f t="shared" si="100"/>
        <v>0</v>
      </c>
      <c r="J348" s="11">
        <f t="shared" si="95"/>
        <v>0</v>
      </c>
    </row>
    <row r="349" spans="1:10" x14ac:dyDescent="0.2">
      <c r="A349" s="596"/>
      <c r="B349" s="594"/>
      <c r="C349" s="7">
        <v>2015</v>
      </c>
      <c r="D349" s="15">
        <f>E349+F349+G349+H349+I349</f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1">
        <f t="shared" si="95"/>
        <v>0</v>
      </c>
    </row>
    <row r="350" spans="1:10" x14ac:dyDescent="0.2">
      <c r="A350" s="596"/>
      <c r="B350" s="594"/>
      <c r="C350" s="7">
        <v>2016</v>
      </c>
      <c r="D350" s="15">
        <f>E350+F350+G350+H350+I350</f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1">
        <f t="shared" si="95"/>
        <v>0</v>
      </c>
    </row>
    <row r="351" spans="1:10" x14ac:dyDescent="0.2">
      <c r="A351" s="596"/>
      <c r="B351" s="594"/>
      <c r="C351" s="7">
        <v>2017</v>
      </c>
      <c r="D351" s="15">
        <f>E351+F351+G351+H351+I351</f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1">
        <f t="shared" si="95"/>
        <v>0</v>
      </c>
    </row>
    <row r="352" spans="1:10" x14ac:dyDescent="0.2">
      <c r="A352" s="596" t="s">
        <v>152</v>
      </c>
      <c r="B352" s="597" t="s">
        <v>153</v>
      </c>
      <c r="C352" s="9" t="s">
        <v>198</v>
      </c>
      <c r="D352" s="16">
        <f t="shared" ref="D352:I352" si="101">D353+D354+D355</f>
        <v>0</v>
      </c>
      <c r="E352" s="16">
        <f t="shared" si="101"/>
        <v>0</v>
      </c>
      <c r="F352" s="16">
        <f t="shared" si="101"/>
        <v>0</v>
      </c>
      <c r="G352" s="16">
        <f t="shared" si="101"/>
        <v>0</v>
      </c>
      <c r="H352" s="16">
        <f t="shared" si="101"/>
        <v>0</v>
      </c>
      <c r="I352" s="16">
        <f t="shared" si="101"/>
        <v>0</v>
      </c>
      <c r="J352" s="11">
        <f t="shared" si="95"/>
        <v>0</v>
      </c>
    </row>
    <row r="353" spans="1:10" x14ac:dyDescent="0.2">
      <c r="A353" s="596"/>
      <c r="B353" s="597"/>
      <c r="C353" s="7">
        <v>2015</v>
      </c>
      <c r="D353" s="15">
        <f>E353+F353+G353+H353+I353</f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1">
        <f t="shared" si="95"/>
        <v>0</v>
      </c>
    </row>
    <row r="354" spans="1:10" x14ac:dyDescent="0.2">
      <c r="A354" s="596"/>
      <c r="B354" s="597"/>
      <c r="C354" s="7">
        <v>2016</v>
      </c>
      <c r="D354" s="15">
        <f>E354+F354+G354+H354+I354</f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1">
        <f t="shared" si="95"/>
        <v>0</v>
      </c>
    </row>
    <row r="355" spans="1:10" x14ac:dyDescent="0.2">
      <c r="A355" s="596"/>
      <c r="B355" s="597"/>
      <c r="C355" s="7">
        <v>2017</v>
      </c>
      <c r="D355" s="15">
        <f>E355+F355+G355+H355+I355</f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1">
        <f t="shared" si="95"/>
        <v>0</v>
      </c>
    </row>
    <row r="356" spans="1:10" x14ac:dyDescent="0.2">
      <c r="A356" s="596" t="s">
        <v>154</v>
      </c>
      <c r="B356" s="607" t="s">
        <v>155</v>
      </c>
      <c r="C356" s="9" t="s">
        <v>198</v>
      </c>
      <c r="D356" s="16">
        <f t="shared" ref="D356:I356" si="102">D357+D358+D359</f>
        <v>0</v>
      </c>
      <c r="E356" s="16">
        <f t="shared" si="102"/>
        <v>0</v>
      </c>
      <c r="F356" s="16">
        <f t="shared" si="102"/>
        <v>0</v>
      </c>
      <c r="G356" s="16">
        <f t="shared" si="102"/>
        <v>0</v>
      </c>
      <c r="H356" s="16">
        <f t="shared" si="102"/>
        <v>0</v>
      </c>
      <c r="I356" s="16">
        <f t="shared" si="102"/>
        <v>0</v>
      </c>
      <c r="J356" s="11">
        <f t="shared" si="95"/>
        <v>0</v>
      </c>
    </row>
    <row r="357" spans="1:10" x14ac:dyDescent="0.2">
      <c r="A357" s="596"/>
      <c r="B357" s="607"/>
      <c r="C357" s="7">
        <v>2015</v>
      </c>
      <c r="D357" s="15">
        <f>E357+F357+G357+H357+I357</f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1">
        <f t="shared" si="95"/>
        <v>0</v>
      </c>
    </row>
    <row r="358" spans="1:10" x14ac:dyDescent="0.2">
      <c r="A358" s="596"/>
      <c r="B358" s="607"/>
      <c r="C358" s="7">
        <v>2016</v>
      </c>
      <c r="D358" s="15">
        <f>E358+F358+G358+H358+I358</f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1">
        <f t="shared" si="95"/>
        <v>0</v>
      </c>
    </row>
    <row r="359" spans="1:10" x14ac:dyDescent="0.2">
      <c r="A359" s="596"/>
      <c r="B359" s="607"/>
      <c r="C359" s="7">
        <v>2017</v>
      </c>
      <c r="D359" s="15">
        <f>E359+F359+G359+H359+I359</f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1">
        <f t="shared" si="95"/>
        <v>0</v>
      </c>
    </row>
    <row r="360" spans="1:10" x14ac:dyDescent="0.2">
      <c r="A360" s="596" t="s">
        <v>156</v>
      </c>
      <c r="B360" s="608" t="s">
        <v>157</v>
      </c>
      <c r="C360" s="9" t="s">
        <v>198</v>
      </c>
      <c r="D360" s="16">
        <f t="shared" ref="D360:I360" si="103">D361+D362+D363</f>
        <v>0</v>
      </c>
      <c r="E360" s="16">
        <f t="shared" si="103"/>
        <v>0</v>
      </c>
      <c r="F360" s="16">
        <f t="shared" si="103"/>
        <v>0</v>
      </c>
      <c r="G360" s="16">
        <f t="shared" si="103"/>
        <v>0</v>
      </c>
      <c r="H360" s="16">
        <f t="shared" si="103"/>
        <v>0</v>
      </c>
      <c r="I360" s="16">
        <f t="shared" si="103"/>
        <v>0</v>
      </c>
      <c r="J360" s="11">
        <f t="shared" si="95"/>
        <v>0</v>
      </c>
    </row>
    <row r="361" spans="1:10" x14ac:dyDescent="0.2">
      <c r="A361" s="596"/>
      <c r="B361" s="608"/>
      <c r="C361" s="7">
        <v>2015</v>
      </c>
      <c r="D361" s="15">
        <f>E361+F361+G361+H361+I361</f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1">
        <f t="shared" si="95"/>
        <v>0</v>
      </c>
    </row>
    <row r="362" spans="1:10" x14ac:dyDescent="0.2">
      <c r="A362" s="596"/>
      <c r="B362" s="608"/>
      <c r="C362" s="7">
        <v>2016</v>
      </c>
      <c r="D362" s="15">
        <f>E362+F362+G362+H362+I362</f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1">
        <f t="shared" si="95"/>
        <v>0</v>
      </c>
    </row>
    <row r="363" spans="1:10" ht="15.75" customHeight="1" x14ac:dyDescent="0.2">
      <c r="A363" s="596"/>
      <c r="B363" s="608"/>
      <c r="C363" s="7">
        <v>2017</v>
      </c>
      <c r="D363" s="15">
        <f>E363+F363+G363+H363+I363</f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1">
        <f t="shared" si="95"/>
        <v>0</v>
      </c>
    </row>
    <row r="364" spans="1:10" x14ac:dyDescent="0.2">
      <c r="A364" s="596" t="s">
        <v>158</v>
      </c>
      <c r="B364" s="608" t="s">
        <v>159</v>
      </c>
      <c r="C364" s="9" t="s">
        <v>198</v>
      </c>
      <c r="D364" s="16">
        <f t="shared" ref="D364:I364" si="104">D365+D366+D367</f>
        <v>0</v>
      </c>
      <c r="E364" s="16">
        <f t="shared" si="104"/>
        <v>0</v>
      </c>
      <c r="F364" s="16">
        <f t="shared" si="104"/>
        <v>0</v>
      </c>
      <c r="G364" s="16">
        <f t="shared" si="104"/>
        <v>0</v>
      </c>
      <c r="H364" s="16">
        <f t="shared" si="104"/>
        <v>0</v>
      </c>
      <c r="I364" s="16">
        <f t="shared" si="104"/>
        <v>0</v>
      </c>
      <c r="J364" s="11">
        <f t="shared" si="95"/>
        <v>0</v>
      </c>
    </row>
    <row r="365" spans="1:10" x14ac:dyDescent="0.2">
      <c r="A365" s="596"/>
      <c r="B365" s="608"/>
      <c r="C365" s="7">
        <v>2015</v>
      </c>
      <c r="D365" s="15">
        <f>E365+F365+G365+H365+I365</f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1">
        <f t="shared" si="95"/>
        <v>0</v>
      </c>
    </row>
    <row r="366" spans="1:10" x14ac:dyDescent="0.2">
      <c r="A366" s="596"/>
      <c r="B366" s="608"/>
      <c r="C366" s="7">
        <v>2016</v>
      </c>
      <c r="D366" s="15">
        <f>E366+F366+G366+H366+I366</f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1">
        <f t="shared" si="95"/>
        <v>0</v>
      </c>
    </row>
    <row r="367" spans="1:10" x14ac:dyDescent="0.2">
      <c r="A367" s="596"/>
      <c r="B367" s="608"/>
      <c r="C367" s="7">
        <v>2017</v>
      </c>
      <c r="D367" s="15">
        <f>E367+F367+G367+H367+I367</f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1">
        <f t="shared" si="95"/>
        <v>0</v>
      </c>
    </row>
    <row r="368" spans="1:10" x14ac:dyDescent="0.2">
      <c r="A368" s="596" t="s">
        <v>160</v>
      </c>
      <c r="B368" s="594" t="s">
        <v>161</v>
      </c>
      <c r="C368" s="9" t="s">
        <v>198</v>
      </c>
      <c r="D368" s="16">
        <f t="shared" ref="D368:I368" si="105">D369+D370+D371</f>
        <v>116.33070000000001</v>
      </c>
      <c r="E368" s="16">
        <f t="shared" si="105"/>
        <v>8.2619999999999999E-2</v>
      </c>
      <c r="F368" s="16">
        <f t="shared" si="105"/>
        <v>13.514699999999998</v>
      </c>
      <c r="G368" s="16">
        <f t="shared" si="105"/>
        <v>73.709000000000003</v>
      </c>
      <c r="H368" s="16">
        <f t="shared" si="105"/>
        <v>29.024380000000001</v>
      </c>
      <c r="I368" s="16">
        <f t="shared" si="105"/>
        <v>0</v>
      </c>
      <c r="J368" s="11">
        <f t="shared" si="95"/>
        <v>116.33070000000001</v>
      </c>
    </row>
    <row r="369" spans="1:10" x14ac:dyDescent="0.2">
      <c r="A369" s="596"/>
      <c r="B369" s="594"/>
      <c r="C369" s="7">
        <v>2015</v>
      </c>
      <c r="D369" s="15">
        <f t="shared" ref="D369:I371" si="106">D373+D377+D381</f>
        <v>38.241100000000003</v>
      </c>
      <c r="E369" s="15">
        <f t="shared" si="106"/>
        <v>8.2619999999999999E-2</v>
      </c>
      <c r="F369" s="15">
        <f t="shared" si="106"/>
        <v>0</v>
      </c>
      <c r="G369" s="15">
        <f t="shared" si="106"/>
        <v>26.769100000000002</v>
      </c>
      <c r="H369" s="15">
        <f t="shared" si="106"/>
        <v>11.389379999999999</v>
      </c>
      <c r="I369" s="15">
        <f t="shared" si="106"/>
        <v>0</v>
      </c>
      <c r="J369" s="11">
        <f t="shared" si="95"/>
        <v>38.241100000000003</v>
      </c>
    </row>
    <row r="370" spans="1:10" x14ac:dyDescent="0.2">
      <c r="A370" s="596"/>
      <c r="B370" s="594"/>
      <c r="C370" s="7">
        <v>2016</v>
      </c>
      <c r="D370" s="15">
        <f t="shared" si="106"/>
        <v>35.828000000000003</v>
      </c>
      <c r="E370" s="15">
        <f t="shared" si="106"/>
        <v>0</v>
      </c>
      <c r="F370" s="15">
        <f t="shared" si="106"/>
        <v>4.5048999999999992</v>
      </c>
      <c r="G370" s="15">
        <f t="shared" si="106"/>
        <v>22.505100000000002</v>
      </c>
      <c r="H370" s="15">
        <f t="shared" si="106"/>
        <v>8.8179999999999996</v>
      </c>
      <c r="I370" s="15">
        <f t="shared" si="106"/>
        <v>0</v>
      </c>
      <c r="J370" s="11">
        <f t="shared" si="95"/>
        <v>35.828000000000003</v>
      </c>
    </row>
    <row r="371" spans="1:10" x14ac:dyDescent="0.2">
      <c r="A371" s="596"/>
      <c r="B371" s="594"/>
      <c r="C371" s="7">
        <v>2017</v>
      </c>
      <c r="D371" s="15">
        <f t="shared" si="106"/>
        <v>42.261600000000001</v>
      </c>
      <c r="E371" s="15">
        <f t="shared" si="106"/>
        <v>0</v>
      </c>
      <c r="F371" s="15">
        <f t="shared" si="106"/>
        <v>9.0097999999999985</v>
      </c>
      <c r="G371" s="15">
        <f t="shared" si="106"/>
        <v>24.434799999999999</v>
      </c>
      <c r="H371" s="15">
        <f t="shared" si="106"/>
        <v>8.8170000000000002</v>
      </c>
      <c r="I371" s="15">
        <f t="shared" si="106"/>
        <v>0</v>
      </c>
      <c r="J371" s="11">
        <f t="shared" si="95"/>
        <v>42.261599999999994</v>
      </c>
    </row>
    <row r="372" spans="1:10" x14ac:dyDescent="0.2">
      <c r="A372" s="596" t="s">
        <v>162</v>
      </c>
      <c r="B372" s="608" t="s">
        <v>163</v>
      </c>
      <c r="C372" s="9" t="s">
        <v>198</v>
      </c>
      <c r="D372" s="16">
        <f t="shared" ref="D372:I372" si="107">D373+D374+D375</f>
        <v>87.843900000000005</v>
      </c>
      <c r="E372" s="16">
        <f t="shared" si="107"/>
        <v>0</v>
      </c>
      <c r="F372" s="16">
        <f t="shared" si="107"/>
        <v>0</v>
      </c>
      <c r="G372" s="16">
        <f t="shared" si="107"/>
        <v>61.490900000000003</v>
      </c>
      <c r="H372" s="16">
        <f t="shared" si="107"/>
        <v>26.353000000000002</v>
      </c>
      <c r="I372" s="16">
        <f t="shared" si="107"/>
        <v>0</v>
      </c>
      <c r="J372" s="11">
        <f t="shared" si="95"/>
        <v>87.843900000000005</v>
      </c>
    </row>
    <row r="373" spans="1:10" x14ac:dyDescent="0.2">
      <c r="A373" s="596"/>
      <c r="B373" s="608"/>
      <c r="C373" s="7">
        <v>2015</v>
      </c>
      <c r="D373" s="15">
        <f>E373+F373+G373+H373+I373</f>
        <v>29.0611</v>
      </c>
      <c r="E373" s="15">
        <v>0</v>
      </c>
      <c r="F373" s="15">
        <v>0</v>
      </c>
      <c r="G373" s="15">
        <v>20.3431</v>
      </c>
      <c r="H373" s="15">
        <v>8.718</v>
      </c>
      <c r="I373" s="15">
        <v>0</v>
      </c>
      <c r="J373" s="11">
        <f t="shared" si="95"/>
        <v>29.0611</v>
      </c>
    </row>
    <row r="374" spans="1:10" x14ac:dyDescent="0.2">
      <c r="A374" s="596"/>
      <c r="B374" s="608"/>
      <c r="C374" s="7">
        <v>2016</v>
      </c>
      <c r="D374" s="15">
        <f>E374+F374+G374+H374+I374</f>
        <v>29.392400000000002</v>
      </c>
      <c r="E374" s="15">
        <v>0</v>
      </c>
      <c r="F374" s="15">
        <v>0</v>
      </c>
      <c r="G374" s="15">
        <v>20.574400000000001</v>
      </c>
      <c r="H374" s="15">
        <v>8.8179999999999996</v>
      </c>
      <c r="I374" s="15">
        <v>0</v>
      </c>
      <c r="J374" s="11">
        <f t="shared" si="95"/>
        <v>29.392400000000002</v>
      </c>
    </row>
    <row r="375" spans="1:10" x14ac:dyDescent="0.2">
      <c r="A375" s="596"/>
      <c r="B375" s="608"/>
      <c r="C375" s="7">
        <v>2017</v>
      </c>
      <c r="D375" s="15">
        <f>E375+F375+G375+H375+I375</f>
        <v>29.3904</v>
      </c>
      <c r="E375" s="15">
        <v>0</v>
      </c>
      <c r="F375" s="15">
        <v>0</v>
      </c>
      <c r="G375" s="15">
        <v>20.573399999999999</v>
      </c>
      <c r="H375" s="15">
        <v>8.8170000000000002</v>
      </c>
      <c r="I375" s="15">
        <v>0</v>
      </c>
      <c r="J375" s="11">
        <f t="shared" si="95"/>
        <v>29.3904</v>
      </c>
    </row>
    <row r="376" spans="1:10" x14ac:dyDescent="0.2">
      <c r="A376" s="596" t="s">
        <v>164</v>
      </c>
      <c r="B376" s="608" t="s">
        <v>165</v>
      </c>
      <c r="C376" s="9" t="s">
        <v>198</v>
      </c>
      <c r="D376" s="16">
        <f t="shared" ref="D376:I376" si="108">D377+D378+D379</f>
        <v>9.18</v>
      </c>
      <c r="E376" s="44">
        <f t="shared" si="108"/>
        <v>8.2619999999999999E-2</v>
      </c>
      <c r="F376" s="16">
        <f t="shared" si="108"/>
        <v>0</v>
      </c>
      <c r="G376" s="16">
        <f t="shared" si="108"/>
        <v>6.4260000000000002</v>
      </c>
      <c r="H376" s="16">
        <f t="shared" si="108"/>
        <v>2.6713800000000001</v>
      </c>
      <c r="I376" s="16">
        <f t="shared" si="108"/>
        <v>0</v>
      </c>
      <c r="J376" s="11">
        <f t="shared" si="95"/>
        <v>9.18</v>
      </c>
    </row>
    <row r="377" spans="1:10" x14ac:dyDescent="0.2">
      <c r="A377" s="596"/>
      <c r="B377" s="608"/>
      <c r="C377" s="7">
        <v>2015</v>
      </c>
      <c r="D377" s="15">
        <f>E377+F377+G377+H377+I377</f>
        <v>9.18</v>
      </c>
      <c r="E377" s="45">
        <f>82.62/1000</f>
        <v>8.2619999999999999E-2</v>
      </c>
      <c r="F377" s="18">
        <v>0</v>
      </c>
      <c r="G377" s="18">
        <f>6426/1000</f>
        <v>6.4260000000000002</v>
      </c>
      <c r="H377" s="18">
        <f>2671.38/1000</f>
        <v>2.6713800000000001</v>
      </c>
      <c r="I377" s="18">
        <v>0</v>
      </c>
      <c r="J377" s="11">
        <f t="shared" si="95"/>
        <v>9.18</v>
      </c>
    </row>
    <row r="378" spans="1:10" x14ac:dyDescent="0.2">
      <c r="A378" s="596"/>
      <c r="B378" s="608"/>
      <c r="C378" s="7">
        <v>2016</v>
      </c>
      <c r="D378" s="16">
        <v>0</v>
      </c>
      <c r="E378" s="44">
        <v>0</v>
      </c>
      <c r="F378" s="16">
        <v>0</v>
      </c>
      <c r="G378" s="16">
        <v>0</v>
      </c>
      <c r="H378" s="16">
        <v>0</v>
      </c>
      <c r="I378" s="16">
        <v>0</v>
      </c>
      <c r="J378" s="11">
        <f t="shared" si="95"/>
        <v>0</v>
      </c>
    </row>
    <row r="379" spans="1:10" x14ac:dyDescent="0.2">
      <c r="A379" s="596"/>
      <c r="B379" s="608"/>
      <c r="C379" s="7">
        <v>2017</v>
      </c>
      <c r="D379" s="15">
        <f>E379+F379+G379+H379+I379</f>
        <v>0</v>
      </c>
      <c r="E379" s="45">
        <v>0</v>
      </c>
      <c r="F379" s="18">
        <v>0</v>
      </c>
      <c r="G379" s="18">
        <v>0</v>
      </c>
      <c r="H379" s="18">
        <v>0</v>
      </c>
      <c r="I379" s="18">
        <v>0</v>
      </c>
      <c r="J379" s="11">
        <f t="shared" si="95"/>
        <v>0</v>
      </c>
    </row>
    <row r="380" spans="1:10" x14ac:dyDescent="0.2">
      <c r="A380" s="596" t="s">
        <v>166</v>
      </c>
      <c r="B380" s="608" t="s">
        <v>167</v>
      </c>
      <c r="C380" s="9" t="s">
        <v>198</v>
      </c>
      <c r="D380" s="16">
        <f t="shared" ref="D380:I380" si="109">D381+D382+D383</f>
        <v>19.306799999999996</v>
      </c>
      <c r="E380" s="16">
        <f t="shared" si="109"/>
        <v>0</v>
      </c>
      <c r="F380" s="16">
        <f t="shared" si="109"/>
        <v>13.514699999999998</v>
      </c>
      <c r="G380" s="16">
        <f t="shared" si="109"/>
        <v>5.7921000000000005</v>
      </c>
      <c r="H380" s="16">
        <f t="shared" si="109"/>
        <v>0</v>
      </c>
      <c r="I380" s="16">
        <f t="shared" si="109"/>
        <v>0</v>
      </c>
      <c r="J380" s="11">
        <f t="shared" si="95"/>
        <v>19.306799999999999</v>
      </c>
    </row>
    <row r="381" spans="1:10" x14ac:dyDescent="0.2">
      <c r="A381" s="596"/>
      <c r="B381" s="608"/>
      <c r="C381" s="7">
        <v>2015</v>
      </c>
      <c r="D381" s="15">
        <f>E381+F381+G381+H381+I381</f>
        <v>0</v>
      </c>
      <c r="E381" s="15">
        <v>0</v>
      </c>
      <c r="F381" s="18">
        <v>0</v>
      </c>
      <c r="G381" s="18">
        <v>0</v>
      </c>
      <c r="H381" s="15">
        <v>0</v>
      </c>
      <c r="I381" s="15">
        <v>0</v>
      </c>
      <c r="J381" s="11">
        <f t="shared" si="95"/>
        <v>0</v>
      </c>
    </row>
    <row r="382" spans="1:10" x14ac:dyDescent="0.2">
      <c r="A382" s="596"/>
      <c r="B382" s="608"/>
      <c r="C382" s="7">
        <v>2016</v>
      </c>
      <c r="D382" s="15">
        <f>E382+F382+G382+H382+I382</f>
        <v>6.4355999999999991</v>
      </c>
      <c r="E382" s="18">
        <v>0</v>
      </c>
      <c r="F382" s="18">
        <f>4504.9/1000</f>
        <v>4.5048999999999992</v>
      </c>
      <c r="G382" s="18">
        <f>1930.7/1000</f>
        <v>1.9307000000000001</v>
      </c>
      <c r="H382" s="18">
        <v>0</v>
      </c>
      <c r="I382" s="18">
        <v>0</v>
      </c>
      <c r="J382" s="11">
        <f t="shared" si="95"/>
        <v>6.4355999999999991</v>
      </c>
    </row>
    <row r="383" spans="1:10" x14ac:dyDescent="0.2">
      <c r="A383" s="596"/>
      <c r="B383" s="608"/>
      <c r="C383" s="7">
        <v>2017</v>
      </c>
      <c r="D383" s="15">
        <f>E383+F383+G383+H383+I383</f>
        <v>12.871199999999998</v>
      </c>
      <c r="E383" s="18">
        <v>0</v>
      </c>
      <c r="F383" s="18">
        <f>9009.8/1000</f>
        <v>9.0097999999999985</v>
      </c>
      <c r="G383" s="18">
        <f>3861.4/1000</f>
        <v>3.8614000000000002</v>
      </c>
      <c r="H383" s="18">
        <v>0</v>
      </c>
      <c r="I383" s="18">
        <v>0</v>
      </c>
      <c r="J383" s="11">
        <f t="shared" si="95"/>
        <v>12.871199999999998</v>
      </c>
    </row>
    <row r="384" spans="1:10" s="12" customFormat="1" x14ac:dyDescent="0.2">
      <c r="A384" s="596" t="s">
        <v>168</v>
      </c>
      <c r="B384" s="606" t="s">
        <v>169</v>
      </c>
      <c r="C384" s="9" t="s">
        <v>198</v>
      </c>
      <c r="D384" s="10">
        <f>D385+D386+D387</f>
        <v>11</v>
      </c>
      <c r="E384" s="10">
        <f>E385+E386+E387</f>
        <v>0</v>
      </c>
      <c r="F384" s="10">
        <f>F385+F386+F387</f>
        <v>0</v>
      </c>
      <c r="G384" s="10">
        <f>G385+G386+G387</f>
        <v>0</v>
      </c>
      <c r="H384" s="10">
        <f>H385+H386+H387</f>
        <v>11</v>
      </c>
      <c r="I384" s="10">
        <v>0</v>
      </c>
      <c r="J384" s="11">
        <f t="shared" si="95"/>
        <v>11</v>
      </c>
    </row>
    <row r="385" spans="1:10" s="12" customFormat="1" x14ac:dyDescent="0.2">
      <c r="A385" s="596"/>
      <c r="B385" s="606"/>
      <c r="C385" s="9">
        <v>2015</v>
      </c>
      <c r="D385" s="10">
        <f t="shared" ref="D385:H386" si="110">D389+D393+D397+D401+D405+D409</f>
        <v>5.5</v>
      </c>
      <c r="E385" s="10">
        <f t="shared" si="110"/>
        <v>0</v>
      </c>
      <c r="F385" s="10">
        <f t="shared" si="110"/>
        <v>0</v>
      </c>
      <c r="G385" s="10">
        <f t="shared" si="110"/>
        <v>0</v>
      </c>
      <c r="H385" s="10">
        <f t="shared" si="110"/>
        <v>5.5</v>
      </c>
      <c r="I385" s="10">
        <v>0</v>
      </c>
      <c r="J385" s="11">
        <f t="shared" si="95"/>
        <v>5.5</v>
      </c>
    </row>
    <row r="386" spans="1:10" s="12" customFormat="1" x14ac:dyDescent="0.2">
      <c r="A386" s="596"/>
      <c r="B386" s="606"/>
      <c r="C386" s="9">
        <v>2016</v>
      </c>
      <c r="D386" s="10">
        <f t="shared" si="110"/>
        <v>5.5</v>
      </c>
      <c r="E386" s="10">
        <f t="shared" si="110"/>
        <v>0</v>
      </c>
      <c r="F386" s="10">
        <f t="shared" si="110"/>
        <v>0</v>
      </c>
      <c r="G386" s="10">
        <f t="shared" si="110"/>
        <v>0</v>
      </c>
      <c r="H386" s="10">
        <f t="shared" si="110"/>
        <v>5.5</v>
      </c>
      <c r="I386" s="10">
        <v>0</v>
      </c>
      <c r="J386" s="11">
        <f t="shared" si="95"/>
        <v>5.5</v>
      </c>
    </row>
    <row r="387" spans="1:10" s="12" customFormat="1" x14ac:dyDescent="0.2">
      <c r="A387" s="596"/>
      <c r="B387" s="606"/>
      <c r="C387" s="9">
        <v>2017</v>
      </c>
      <c r="D387" s="10">
        <f>D391+D395+D399+D403+D407+D411</f>
        <v>0</v>
      </c>
      <c r="E387" s="10">
        <f t="shared" ref="E387:G392" si="111">E388+E389+E390</f>
        <v>0</v>
      </c>
      <c r="F387" s="10">
        <f t="shared" si="111"/>
        <v>0</v>
      </c>
      <c r="G387" s="10">
        <f t="shared" si="111"/>
        <v>0</v>
      </c>
      <c r="H387" s="10">
        <v>0</v>
      </c>
      <c r="I387" s="10">
        <v>0</v>
      </c>
      <c r="J387" s="11">
        <f t="shared" si="95"/>
        <v>0</v>
      </c>
    </row>
    <row r="388" spans="1:10" x14ac:dyDescent="0.2">
      <c r="A388" s="596" t="s">
        <v>170</v>
      </c>
      <c r="B388" s="586" t="s">
        <v>171</v>
      </c>
      <c r="C388" s="9" t="s">
        <v>198</v>
      </c>
      <c r="D388" s="15">
        <f>D389+D390+D391</f>
        <v>2</v>
      </c>
      <c r="E388" s="15">
        <f t="shared" si="111"/>
        <v>0</v>
      </c>
      <c r="F388" s="15">
        <f t="shared" si="111"/>
        <v>0</v>
      </c>
      <c r="G388" s="15">
        <f t="shared" si="111"/>
        <v>0</v>
      </c>
      <c r="H388" s="15">
        <f>H389+H390+H391</f>
        <v>2</v>
      </c>
      <c r="I388" s="15">
        <v>0</v>
      </c>
      <c r="J388" s="11">
        <f t="shared" si="95"/>
        <v>2</v>
      </c>
    </row>
    <row r="389" spans="1:10" x14ac:dyDescent="0.2">
      <c r="A389" s="596"/>
      <c r="B389" s="586"/>
      <c r="C389" s="7">
        <v>2015</v>
      </c>
      <c r="D389" s="15">
        <f>E389+F389+G389+H389+I389</f>
        <v>1</v>
      </c>
      <c r="E389" s="15">
        <f t="shared" si="111"/>
        <v>0</v>
      </c>
      <c r="F389" s="15">
        <f t="shared" si="111"/>
        <v>0</v>
      </c>
      <c r="G389" s="15">
        <f t="shared" si="111"/>
        <v>0</v>
      </c>
      <c r="H389" s="15">
        <v>1</v>
      </c>
      <c r="I389" s="15">
        <v>0</v>
      </c>
      <c r="J389" s="11">
        <f t="shared" si="95"/>
        <v>1</v>
      </c>
    </row>
    <row r="390" spans="1:10" x14ac:dyDescent="0.2">
      <c r="A390" s="596"/>
      <c r="B390" s="586"/>
      <c r="C390" s="7">
        <v>2016</v>
      </c>
      <c r="D390" s="15">
        <f>E390+F390+G390+H390+I390</f>
        <v>1</v>
      </c>
      <c r="E390" s="15">
        <f t="shared" si="111"/>
        <v>0</v>
      </c>
      <c r="F390" s="15">
        <f t="shared" si="111"/>
        <v>0</v>
      </c>
      <c r="G390" s="15">
        <f t="shared" si="111"/>
        <v>0</v>
      </c>
      <c r="H390" s="15">
        <v>1</v>
      </c>
      <c r="I390" s="15">
        <v>0</v>
      </c>
      <c r="J390" s="11">
        <f t="shared" si="95"/>
        <v>1</v>
      </c>
    </row>
    <row r="391" spans="1:10" x14ac:dyDescent="0.2">
      <c r="A391" s="596"/>
      <c r="B391" s="586"/>
      <c r="C391" s="7">
        <v>2017</v>
      </c>
      <c r="D391" s="15">
        <f>E391+F391+G391+H391+I391</f>
        <v>0</v>
      </c>
      <c r="E391" s="15">
        <f t="shared" si="111"/>
        <v>0</v>
      </c>
      <c r="F391" s="15">
        <f t="shared" si="111"/>
        <v>0</v>
      </c>
      <c r="G391" s="15">
        <f t="shared" si="111"/>
        <v>0</v>
      </c>
      <c r="H391" s="15">
        <v>0</v>
      </c>
      <c r="I391" s="15">
        <v>0</v>
      </c>
      <c r="J391" s="11">
        <f t="shared" si="95"/>
        <v>0</v>
      </c>
    </row>
    <row r="392" spans="1:10" x14ac:dyDescent="0.2">
      <c r="A392" s="596" t="s">
        <v>172</v>
      </c>
      <c r="B392" s="586" t="s">
        <v>173</v>
      </c>
      <c r="C392" s="9" t="s">
        <v>198</v>
      </c>
      <c r="D392" s="15">
        <f>D393+D394+D395</f>
        <v>2</v>
      </c>
      <c r="E392" s="15">
        <f t="shared" si="111"/>
        <v>0</v>
      </c>
      <c r="F392" s="15">
        <f t="shared" si="111"/>
        <v>0</v>
      </c>
      <c r="G392" s="15">
        <f t="shared" si="111"/>
        <v>0</v>
      </c>
      <c r="H392" s="15">
        <f>H393+H394+H395</f>
        <v>2</v>
      </c>
      <c r="I392" s="15">
        <v>0</v>
      </c>
      <c r="J392" s="11">
        <f t="shared" si="95"/>
        <v>2</v>
      </c>
    </row>
    <row r="393" spans="1:10" x14ac:dyDescent="0.2">
      <c r="A393" s="596"/>
      <c r="B393" s="586"/>
      <c r="C393" s="7">
        <v>2015</v>
      </c>
      <c r="D393" s="15">
        <f>E393+F393+G393+H393+I393</f>
        <v>1</v>
      </c>
      <c r="E393" s="15">
        <v>0</v>
      </c>
      <c r="F393" s="15">
        <v>0</v>
      </c>
      <c r="G393" s="15">
        <v>0</v>
      </c>
      <c r="H393" s="15">
        <v>1</v>
      </c>
      <c r="I393" s="15">
        <v>0</v>
      </c>
      <c r="J393" s="11">
        <f t="shared" si="95"/>
        <v>1</v>
      </c>
    </row>
    <row r="394" spans="1:10" x14ac:dyDescent="0.2">
      <c r="A394" s="596"/>
      <c r="B394" s="586"/>
      <c r="C394" s="7">
        <v>2016</v>
      </c>
      <c r="D394" s="15">
        <f>E394+F394+G394+H394+I394</f>
        <v>1</v>
      </c>
      <c r="E394" s="15">
        <v>0</v>
      </c>
      <c r="F394" s="15">
        <v>0</v>
      </c>
      <c r="G394" s="15">
        <v>0</v>
      </c>
      <c r="H394" s="15">
        <v>1</v>
      </c>
      <c r="I394" s="15">
        <v>0</v>
      </c>
      <c r="J394" s="11">
        <f t="shared" si="95"/>
        <v>1</v>
      </c>
    </row>
    <row r="395" spans="1:10" x14ac:dyDescent="0.2">
      <c r="A395" s="596"/>
      <c r="B395" s="586"/>
      <c r="C395" s="7">
        <v>2017</v>
      </c>
      <c r="D395" s="15">
        <f>E395+F395+G395+H395+I395</f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1">
        <f t="shared" si="95"/>
        <v>0</v>
      </c>
    </row>
    <row r="396" spans="1:10" x14ac:dyDescent="0.2">
      <c r="A396" s="596" t="s">
        <v>174</v>
      </c>
      <c r="B396" s="586" t="s">
        <v>175</v>
      </c>
      <c r="C396" s="9" t="s">
        <v>198</v>
      </c>
      <c r="D396" s="15">
        <f>D397+D398+D399</f>
        <v>2</v>
      </c>
      <c r="E396" s="15">
        <f>E397+E398+E399</f>
        <v>0</v>
      </c>
      <c r="F396" s="15">
        <f>F397+F398+F399</f>
        <v>0</v>
      </c>
      <c r="G396" s="15">
        <f>G397+G398+G399</f>
        <v>0</v>
      </c>
      <c r="H396" s="15">
        <f>H397+H398+H399</f>
        <v>2</v>
      </c>
      <c r="I396" s="15">
        <v>0</v>
      </c>
      <c r="J396" s="11">
        <f t="shared" si="95"/>
        <v>2</v>
      </c>
    </row>
    <row r="397" spans="1:10" x14ac:dyDescent="0.2">
      <c r="A397" s="596"/>
      <c r="B397" s="586"/>
      <c r="C397" s="7">
        <v>2015</v>
      </c>
      <c r="D397" s="15">
        <f>E397+F397+G397+H397+I397</f>
        <v>1</v>
      </c>
      <c r="E397" s="15">
        <v>0</v>
      </c>
      <c r="F397" s="15">
        <v>0</v>
      </c>
      <c r="G397" s="15">
        <v>0</v>
      </c>
      <c r="H397" s="15">
        <v>1</v>
      </c>
      <c r="I397" s="15">
        <v>0</v>
      </c>
      <c r="J397" s="11">
        <f t="shared" si="95"/>
        <v>1</v>
      </c>
    </row>
    <row r="398" spans="1:10" x14ac:dyDescent="0.2">
      <c r="A398" s="596"/>
      <c r="B398" s="586"/>
      <c r="C398" s="7">
        <v>2016</v>
      </c>
      <c r="D398" s="15">
        <f>E398+F398+G398+H398+I398</f>
        <v>1</v>
      </c>
      <c r="E398" s="15">
        <v>0</v>
      </c>
      <c r="F398" s="15">
        <v>0</v>
      </c>
      <c r="G398" s="15">
        <v>0</v>
      </c>
      <c r="H398" s="15">
        <v>1</v>
      </c>
      <c r="I398" s="15">
        <v>0</v>
      </c>
      <c r="J398" s="11">
        <f t="shared" si="95"/>
        <v>1</v>
      </c>
    </row>
    <row r="399" spans="1:10" x14ac:dyDescent="0.2">
      <c r="A399" s="596"/>
      <c r="B399" s="586"/>
      <c r="C399" s="7">
        <v>2017</v>
      </c>
      <c r="D399" s="15">
        <f>E399+F399+G399+H399+I399</f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1">
        <f t="shared" si="95"/>
        <v>0</v>
      </c>
    </row>
    <row r="400" spans="1:10" x14ac:dyDescent="0.2">
      <c r="A400" s="596" t="s">
        <v>176</v>
      </c>
      <c r="B400" s="605" t="s">
        <v>240</v>
      </c>
      <c r="C400" s="9" t="s">
        <v>198</v>
      </c>
      <c r="D400" s="15">
        <f>D401+D402+D403</f>
        <v>2</v>
      </c>
      <c r="E400" s="15">
        <f>E401+E402+E403</f>
        <v>0</v>
      </c>
      <c r="F400" s="15">
        <f>F401+F402+F403</f>
        <v>0</v>
      </c>
      <c r="G400" s="15">
        <f>G401+G402+G403</f>
        <v>0</v>
      </c>
      <c r="H400" s="15">
        <f>H401+H402+H403</f>
        <v>2</v>
      </c>
      <c r="I400" s="15">
        <v>0</v>
      </c>
      <c r="J400" s="11">
        <f t="shared" si="95"/>
        <v>2</v>
      </c>
    </row>
    <row r="401" spans="1:10" x14ac:dyDescent="0.2">
      <c r="A401" s="596"/>
      <c r="B401" s="605"/>
      <c r="C401" s="7">
        <v>2015</v>
      </c>
      <c r="D401" s="15">
        <f t="shared" ref="D401:D411" si="112">E401+F401+G401+H401+I401</f>
        <v>1</v>
      </c>
      <c r="E401" s="15">
        <v>0</v>
      </c>
      <c r="F401" s="15">
        <v>0</v>
      </c>
      <c r="G401" s="15">
        <v>0</v>
      </c>
      <c r="H401" s="15">
        <v>1</v>
      </c>
      <c r="I401" s="15">
        <v>0</v>
      </c>
      <c r="J401" s="11">
        <f t="shared" ref="J401:J411" si="113">E401+F401+G401+H401+I401</f>
        <v>1</v>
      </c>
    </row>
    <row r="402" spans="1:10" x14ac:dyDescent="0.2">
      <c r="A402" s="596"/>
      <c r="B402" s="605"/>
      <c r="C402" s="7">
        <v>2016</v>
      </c>
      <c r="D402" s="15">
        <f t="shared" si="112"/>
        <v>1</v>
      </c>
      <c r="E402" s="15">
        <v>0</v>
      </c>
      <c r="F402" s="15">
        <v>0</v>
      </c>
      <c r="G402" s="15">
        <v>0</v>
      </c>
      <c r="H402" s="15">
        <v>1</v>
      </c>
      <c r="I402" s="15">
        <v>0</v>
      </c>
      <c r="J402" s="11">
        <f t="shared" si="113"/>
        <v>1</v>
      </c>
    </row>
    <row r="403" spans="1:10" x14ac:dyDescent="0.2">
      <c r="A403" s="596"/>
      <c r="B403" s="605"/>
      <c r="C403" s="7">
        <v>2017</v>
      </c>
      <c r="D403" s="15">
        <f t="shared" si="112"/>
        <v>0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1">
        <f t="shared" si="113"/>
        <v>0</v>
      </c>
    </row>
    <row r="404" spans="1:10" x14ac:dyDescent="0.2">
      <c r="A404" s="596" t="s">
        <v>241</v>
      </c>
      <c r="B404" s="605" t="s">
        <v>242</v>
      </c>
      <c r="C404" s="9" t="s">
        <v>198</v>
      </c>
      <c r="D404" s="15">
        <f t="shared" si="112"/>
        <v>2.5</v>
      </c>
      <c r="E404" s="15">
        <f>E405+E406+E407</f>
        <v>0</v>
      </c>
      <c r="F404" s="15">
        <f>F405+F406+F407</f>
        <v>0</v>
      </c>
      <c r="G404" s="15">
        <f>G405+G406+G407</f>
        <v>0</v>
      </c>
      <c r="H404" s="15">
        <f>H405+H406+H407</f>
        <v>2.5</v>
      </c>
      <c r="I404" s="15">
        <v>0</v>
      </c>
      <c r="J404" s="11">
        <f t="shared" si="113"/>
        <v>2.5</v>
      </c>
    </row>
    <row r="405" spans="1:10" x14ac:dyDescent="0.2">
      <c r="A405" s="596"/>
      <c r="B405" s="605"/>
      <c r="C405" s="7">
        <v>2015</v>
      </c>
      <c r="D405" s="15">
        <f t="shared" si="112"/>
        <v>1</v>
      </c>
      <c r="E405" s="15">
        <v>0</v>
      </c>
      <c r="F405" s="15">
        <v>0</v>
      </c>
      <c r="G405" s="15">
        <v>0</v>
      </c>
      <c r="H405" s="15">
        <v>1</v>
      </c>
      <c r="I405" s="15">
        <v>0</v>
      </c>
      <c r="J405" s="11">
        <f t="shared" si="113"/>
        <v>1</v>
      </c>
    </row>
    <row r="406" spans="1:10" x14ac:dyDescent="0.2">
      <c r="A406" s="596"/>
      <c r="B406" s="605"/>
      <c r="C406" s="7">
        <v>2016</v>
      </c>
      <c r="D406" s="15">
        <f t="shared" si="112"/>
        <v>1.5</v>
      </c>
      <c r="E406" s="15">
        <v>0</v>
      </c>
      <c r="F406" s="15">
        <v>0</v>
      </c>
      <c r="G406" s="15">
        <v>0</v>
      </c>
      <c r="H406" s="15">
        <v>1.5</v>
      </c>
      <c r="I406" s="15">
        <v>0</v>
      </c>
      <c r="J406" s="11">
        <f t="shared" si="113"/>
        <v>1.5</v>
      </c>
    </row>
    <row r="407" spans="1:10" x14ac:dyDescent="0.2">
      <c r="A407" s="596"/>
      <c r="B407" s="605"/>
      <c r="C407" s="7">
        <v>2017</v>
      </c>
      <c r="D407" s="15">
        <f t="shared" si="112"/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1">
        <f t="shared" si="113"/>
        <v>0</v>
      </c>
    </row>
    <row r="408" spans="1:10" x14ac:dyDescent="0.2">
      <c r="A408" s="596" t="s">
        <v>243</v>
      </c>
      <c r="B408" s="586" t="s">
        <v>244</v>
      </c>
      <c r="C408" s="9" t="s">
        <v>198</v>
      </c>
      <c r="D408" s="15">
        <f t="shared" si="112"/>
        <v>0.5</v>
      </c>
      <c r="E408" s="15">
        <f>E409+E410+E411</f>
        <v>0</v>
      </c>
      <c r="F408" s="15">
        <f>F409+F410+F411</f>
        <v>0</v>
      </c>
      <c r="G408" s="15">
        <f>G409+G410+G411</f>
        <v>0</v>
      </c>
      <c r="H408" s="15">
        <f>H409+H410+H411</f>
        <v>0.5</v>
      </c>
      <c r="I408" s="15">
        <v>0</v>
      </c>
      <c r="J408" s="11">
        <f t="shared" si="113"/>
        <v>0.5</v>
      </c>
    </row>
    <row r="409" spans="1:10" x14ac:dyDescent="0.2">
      <c r="A409" s="596"/>
      <c r="B409" s="586"/>
      <c r="C409" s="7">
        <v>2015</v>
      </c>
      <c r="D409" s="15">
        <f t="shared" si="112"/>
        <v>0.5</v>
      </c>
      <c r="E409" s="15">
        <v>0</v>
      </c>
      <c r="F409" s="15">
        <v>0</v>
      </c>
      <c r="G409" s="15">
        <v>0</v>
      </c>
      <c r="H409" s="15">
        <v>0.5</v>
      </c>
      <c r="I409" s="15">
        <v>0</v>
      </c>
      <c r="J409" s="11">
        <f t="shared" si="113"/>
        <v>0.5</v>
      </c>
    </row>
    <row r="410" spans="1:10" x14ac:dyDescent="0.2">
      <c r="A410" s="596"/>
      <c r="B410" s="586"/>
      <c r="C410" s="7">
        <v>2016</v>
      </c>
      <c r="D410" s="15">
        <f t="shared" si="112"/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1">
        <f t="shared" si="113"/>
        <v>0</v>
      </c>
    </row>
    <row r="411" spans="1:10" x14ac:dyDescent="0.2">
      <c r="A411" s="596"/>
      <c r="B411" s="586"/>
      <c r="C411" s="7">
        <v>2017</v>
      </c>
      <c r="D411" s="15">
        <f t="shared" si="112"/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1">
        <f t="shared" si="113"/>
        <v>0</v>
      </c>
    </row>
    <row r="412" spans="1:10" ht="15.75" customHeight="1" x14ac:dyDescent="0.2">
      <c r="A412" s="596" t="s">
        <v>245</v>
      </c>
      <c r="B412" s="606" t="s">
        <v>246</v>
      </c>
      <c r="C412" s="9" t="s">
        <v>198</v>
      </c>
      <c r="D412" s="29">
        <f t="shared" ref="D412:I412" si="114">D413+D414+D415</f>
        <v>35574.5</v>
      </c>
      <c r="E412" s="29">
        <f t="shared" si="114"/>
        <v>0</v>
      </c>
      <c r="F412" s="29">
        <f>F413+F414+F415</f>
        <v>0</v>
      </c>
      <c r="G412" s="29">
        <f t="shared" si="114"/>
        <v>0</v>
      </c>
      <c r="H412" s="29">
        <f t="shared" si="114"/>
        <v>35574.5</v>
      </c>
      <c r="I412" s="29">
        <f t="shared" si="114"/>
        <v>0</v>
      </c>
      <c r="J412" s="11"/>
    </row>
    <row r="413" spans="1:10" x14ac:dyDescent="0.2">
      <c r="A413" s="596"/>
      <c r="B413" s="606"/>
      <c r="C413" s="7">
        <v>2015</v>
      </c>
      <c r="D413" s="30">
        <f>D449+D453</f>
        <v>4703.37</v>
      </c>
      <c r="E413" s="30">
        <f>E341+E449+E453</f>
        <v>0</v>
      </c>
      <c r="F413" s="30">
        <f>F449+F453</f>
        <v>0</v>
      </c>
      <c r="G413" s="30">
        <f>G449+G453</f>
        <v>0</v>
      </c>
      <c r="H413" s="31">
        <f>H449+H453</f>
        <v>4703.37</v>
      </c>
      <c r="I413" s="31">
        <f>I341+I449+I453</f>
        <v>0</v>
      </c>
      <c r="J413" s="11"/>
    </row>
    <row r="414" spans="1:10" x14ac:dyDescent="0.2">
      <c r="A414" s="596"/>
      <c r="B414" s="606"/>
      <c r="C414" s="7">
        <v>2016</v>
      </c>
      <c r="D414" s="30">
        <f>I414+H414+G414+F414</f>
        <v>13339.7</v>
      </c>
      <c r="E414" s="30">
        <f>E342+E450+E454</f>
        <v>0</v>
      </c>
      <c r="F414" s="30">
        <f>F450+F454</f>
        <v>0</v>
      </c>
      <c r="G414" s="30">
        <f>G450+G454</f>
        <v>0</v>
      </c>
      <c r="H414" s="31">
        <f>H450</f>
        <v>13339.7</v>
      </c>
      <c r="I414" s="31">
        <f>I342+I450+I454</f>
        <v>0</v>
      </c>
      <c r="J414" s="11"/>
    </row>
    <row r="415" spans="1:10" x14ac:dyDescent="0.2">
      <c r="A415" s="596"/>
      <c r="B415" s="606"/>
      <c r="C415" s="7">
        <v>2017</v>
      </c>
      <c r="D415" s="30">
        <f>D451+D455</f>
        <v>17531.43</v>
      </c>
      <c r="E415" s="31">
        <f>E451+E455</f>
        <v>0</v>
      </c>
      <c r="F415" s="31">
        <f>F451+F455</f>
        <v>0</v>
      </c>
      <c r="G415" s="31">
        <f>G451+G455</f>
        <v>0</v>
      </c>
      <c r="H415" s="31">
        <f>H451+H455</f>
        <v>17531.43</v>
      </c>
      <c r="I415" s="31">
        <f>I451+I455</f>
        <v>0</v>
      </c>
      <c r="J415" s="11"/>
    </row>
    <row r="416" spans="1:10" x14ac:dyDescent="0.2">
      <c r="A416" s="596" t="s">
        <v>247</v>
      </c>
      <c r="B416" s="593" t="s">
        <v>248</v>
      </c>
      <c r="C416" s="9" t="s">
        <v>198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1"/>
    </row>
    <row r="417" spans="1:10" x14ac:dyDescent="0.2">
      <c r="A417" s="596"/>
      <c r="B417" s="593"/>
      <c r="C417" s="7">
        <v>2015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1"/>
    </row>
    <row r="418" spans="1:10" x14ac:dyDescent="0.2">
      <c r="A418" s="596"/>
      <c r="B418" s="593"/>
      <c r="C418" s="7">
        <v>2016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1"/>
    </row>
    <row r="419" spans="1:10" x14ac:dyDescent="0.2">
      <c r="A419" s="596"/>
      <c r="B419" s="593"/>
      <c r="C419" s="7">
        <v>2017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1"/>
    </row>
    <row r="420" spans="1:10" x14ac:dyDescent="0.2">
      <c r="A420" s="596" t="s">
        <v>249</v>
      </c>
      <c r="B420" s="593" t="s">
        <v>250</v>
      </c>
      <c r="C420" s="9" t="s">
        <v>198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1"/>
    </row>
    <row r="421" spans="1:10" x14ac:dyDescent="0.2">
      <c r="A421" s="596"/>
      <c r="B421" s="593"/>
      <c r="C421" s="7">
        <v>2015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1"/>
    </row>
    <row r="422" spans="1:10" x14ac:dyDescent="0.2">
      <c r="A422" s="596"/>
      <c r="B422" s="593"/>
      <c r="C422" s="7">
        <v>2016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1"/>
    </row>
    <row r="423" spans="1:10" x14ac:dyDescent="0.2">
      <c r="A423" s="596"/>
      <c r="B423" s="593"/>
      <c r="C423" s="7">
        <v>2017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1"/>
    </row>
    <row r="424" spans="1:10" x14ac:dyDescent="0.2">
      <c r="A424" s="596" t="s">
        <v>251</v>
      </c>
      <c r="B424" s="593" t="s">
        <v>252</v>
      </c>
      <c r="C424" s="9" t="s">
        <v>198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1"/>
    </row>
    <row r="425" spans="1:10" x14ac:dyDescent="0.2">
      <c r="A425" s="596"/>
      <c r="B425" s="593"/>
      <c r="C425" s="7">
        <v>2015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1"/>
    </row>
    <row r="426" spans="1:10" x14ac:dyDescent="0.2">
      <c r="A426" s="596"/>
      <c r="B426" s="593"/>
      <c r="C426" s="7">
        <v>2016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1"/>
    </row>
    <row r="427" spans="1:10" x14ac:dyDescent="0.2">
      <c r="A427" s="596"/>
      <c r="B427" s="593"/>
      <c r="C427" s="7">
        <v>2017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1"/>
    </row>
    <row r="428" spans="1:10" x14ac:dyDescent="0.2">
      <c r="A428" s="596" t="s">
        <v>253</v>
      </c>
      <c r="B428" s="593" t="s">
        <v>254</v>
      </c>
      <c r="C428" s="9" t="s">
        <v>198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1"/>
    </row>
    <row r="429" spans="1:10" x14ac:dyDescent="0.2">
      <c r="A429" s="596"/>
      <c r="B429" s="593"/>
      <c r="C429" s="7">
        <v>2015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1"/>
    </row>
    <row r="430" spans="1:10" x14ac:dyDescent="0.2">
      <c r="A430" s="596"/>
      <c r="B430" s="593"/>
      <c r="C430" s="7">
        <v>2016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1"/>
    </row>
    <row r="431" spans="1:10" x14ac:dyDescent="0.2">
      <c r="A431" s="596"/>
      <c r="B431" s="593"/>
      <c r="C431" s="7">
        <v>2017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1"/>
    </row>
    <row r="432" spans="1:10" x14ac:dyDescent="0.2">
      <c r="A432" s="596" t="s">
        <v>255</v>
      </c>
      <c r="B432" s="593" t="s">
        <v>256</v>
      </c>
      <c r="C432" s="9" t="s">
        <v>198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1"/>
    </row>
    <row r="433" spans="1:10" x14ac:dyDescent="0.2">
      <c r="A433" s="596"/>
      <c r="B433" s="593"/>
      <c r="C433" s="7">
        <v>2015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1"/>
    </row>
    <row r="434" spans="1:10" x14ac:dyDescent="0.2">
      <c r="A434" s="596"/>
      <c r="B434" s="593"/>
      <c r="C434" s="7">
        <v>2016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1"/>
    </row>
    <row r="435" spans="1:10" x14ac:dyDescent="0.2">
      <c r="A435" s="596"/>
      <c r="B435" s="593"/>
      <c r="C435" s="7">
        <v>2017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1"/>
    </row>
    <row r="436" spans="1:10" x14ac:dyDescent="0.2">
      <c r="A436" s="596" t="s">
        <v>257</v>
      </c>
      <c r="B436" s="593" t="s">
        <v>258</v>
      </c>
      <c r="C436" s="9" t="s">
        <v>198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1"/>
    </row>
    <row r="437" spans="1:10" x14ac:dyDescent="0.2">
      <c r="A437" s="596"/>
      <c r="B437" s="593"/>
      <c r="C437" s="7">
        <v>2015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1"/>
    </row>
    <row r="438" spans="1:10" x14ac:dyDescent="0.2">
      <c r="A438" s="596"/>
      <c r="B438" s="593"/>
      <c r="C438" s="7">
        <v>2016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1"/>
    </row>
    <row r="439" spans="1:10" x14ac:dyDescent="0.2">
      <c r="A439" s="596"/>
      <c r="B439" s="593"/>
      <c r="C439" s="7">
        <v>2017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1"/>
    </row>
    <row r="440" spans="1:10" x14ac:dyDescent="0.2">
      <c r="A440" s="596" t="s">
        <v>259</v>
      </c>
      <c r="B440" s="593" t="s">
        <v>260</v>
      </c>
      <c r="C440" s="9" t="s">
        <v>198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1"/>
    </row>
    <row r="441" spans="1:10" x14ac:dyDescent="0.2">
      <c r="A441" s="596"/>
      <c r="B441" s="593"/>
      <c r="C441" s="7">
        <v>2015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1"/>
    </row>
    <row r="442" spans="1:10" x14ac:dyDescent="0.2">
      <c r="A442" s="596"/>
      <c r="B442" s="593"/>
      <c r="C442" s="7">
        <v>2016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1"/>
    </row>
    <row r="443" spans="1:10" x14ac:dyDescent="0.2">
      <c r="A443" s="596"/>
      <c r="B443" s="593"/>
      <c r="C443" s="7">
        <v>2017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1"/>
    </row>
    <row r="444" spans="1:10" ht="25.5" customHeight="1" x14ac:dyDescent="0.2">
      <c r="A444" s="598" t="s">
        <v>261</v>
      </c>
      <c r="B444" s="593" t="s">
        <v>262</v>
      </c>
      <c r="C444" s="9" t="s">
        <v>198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1"/>
    </row>
    <row r="445" spans="1:10" x14ac:dyDescent="0.2">
      <c r="A445" s="599"/>
      <c r="B445" s="593"/>
      <c r="C445" s="7">
        <v>2015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1"/>
    </row>
    <row r="446" spans="1:10" x14ac:dyDescent="0.2">
      <c r="A446" s="599"/>
      <c r="B446" s="593"/>
      <c r="C446" s="7">
        <v>2016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1"/>
    </row>
    <row r="447" spans="1:10" x14ac:dyDescent="0.2">
      <c r="A447" s="600"/>
      <c r="B447" s="593"/>
      <c r="C447" s="7">
        <v>2017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1"/>
    </row>
    <row r="448" spans="1:10" ht="12.75" customHeight="1" x14ac:dyDescent="0.2">
      <c r="A448" s="596" t="s">
        <v>263</v>
      </c>
      <c r="B448" s="597" t="s">
        <v>264</v>
      </c>
      <c r="C448" s="9" t="s">
        <v>198</v>
      </c>
      <c r="D448" s="15">
        <f t="shared" ref="D448:I448" si="115">D449+D450+D451</f>
        <v>35574.5</v>
      </c>
      <c r="E448" s="15">
        <f t="shared" si="115"/>
        <v>0</v>
      </c>
      <c r="F448" s="15">
        <f t="shared" si="115"/>
        <v>0</v>
      </c>
      <c r="G448" s="15">
        <f t="shared" si="115"/>
        <v>0</v>
      </c>
      <c r="H448" s="15">
        <f t="shared" si="115"/>
        <v>35574.5</v>
      </c>
      <c r="I448" s="15">
        <f t="shared" si="115"/>
        <v>0</v>
      </c>
      <c r="J448" s="11"/>
    </row>
    <row r="449" spans="1:10" x14ac:dyDescent="0.2">
      <c r="A449" s="596"/>
      <c r="B449" s="597"/>
      <c r="C449" s="7">
        <v>2015</v>
      </c>
      <c r="D449" s="15">
        <f>E449+F449+G449+H449+I449</f>
        <v>4703.37</v>
      </c>
      <c r="E449" s="15">
        <v>0</v>
      </c>
      <c r="F449" s="15">
        <v>0</v>
      </c>
      <c r="G449" s="15">
        <v>0</v>
      </c>
      <c r="H449" s="15">
        <v>4703.37</v>
      </c>
      <c r="I449" s="15">
        <v>0</v>
      </c>
      <c r="J449" s="11"/>
    </row>
    <row r="450" spans="1:10" x14ac:dyDescent="0.2">
      <c r="A450" s="596"/>
      <c r="B450" s="597"/>
      <c r="C450" s="7">
        <v>2016</v>
      </c>
      <c r="D450" s="15">
        <f>E450+F450+G450+H450+I450</f>
        <v>13339.7</v>
      </c>
      <c r="E450" s="15">
        <v>0</v>
      </c>
      <c r="F450" s="15">
        <v>0</v>
      </c>
      <c r="G450" s="15">
        <v>0</v>
      </c>
      <c r="H450" s="15">
        <v>13339.7</v>
      </c>
      <c r="I450" s="15">
        <v>0</v>
      </c>
      <c r="J450" s="11"/>
    </row>
    <row r="451" spans="1:10" x14ac:dyDescent="0.2">
      <c r="A451" s="596"/>
      <c r="B451" s="597"/>
      <c r="C451" s="7">
        <v>2017</v>
      </c>
      <c r="D451" s="15">
        <f>E451+F451+G451+H451+I451</f>
        <v>17531.43</v>
      </c>
      <c r="E451" s="15">
        <v>0</v>
      </c>
      <c r="F451" s="15">
        <v>0</v>
      </c>
      <c r="G451" s="15">
        <v>0</v>
      </c>
      <c r="H451" s="15">
        <v>17531.43</v>
      </c>
      <c r="I451" s="15">
        <v>0</v>
      </c>
      <c r="J451" s="11"/>
    </row>
    <row r="452" spans="1:10" s="32" customFormat="1" x14ac:dyDescent="0.2">
      <c r="A452" s="596" t="s">
        <v>265</v>
      </c>
      <c r="B452" s="597" t="s">
        <v>266</v>
      </c>
      <c r="C452" s="9" t="s">
        <v>198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1"/>
    </row>
    <row r="453" spans="1:10" x14ac:dyDescent="0.2">
      <c r="A453" s="596"/>
      <c r="B453" s="597"/>
      <c r="C453" s="7">
        <v>2015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1"/>
    </row>
    <row r="454" spans="1:10" x14ac:dyDescent="0.2">
      <c r="A454" s="596"/>
      <c r="B454" s="597"/>
      <c r="C454" s="7">
        <v>2016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1"/>
    </row>
    <row r="455" spans="1:10" ht="14.25" customHeight="1" x14ac:dyDescent="0.2">
      <c r="A455" s="596"/>
      <c r="B455" s="597"/>
      <c r="C455" s="7">
        <v>2017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1"/>
    </row>
    <row r="456" spans="1:10" ht="14.25" customHeight="1" x14ac:dyDescent="0.2">
      <c r="A456" s="598" t="s">
        <v>267</v>
      </c>
      <c r="B456" s="33"/>
      <c r="C456" s="9" t="s">
        <v>198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1"/>
    </row>
    <row r="457" spans="1:10" ht="14.25" customHeight="1" x14ac:dyDescent="0.2">
      <c r="A457" s="599"/>
      <c r="B457" s="601" t="s">
        <v>268</v>
      </c>
      <c r="C457" s="7">
        <v>2015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1"/>
    </row>
    <row r="458" spans="1:10" ht="14.25" customHeight="1" x14ac:dyDescent="0.2">
      <c r="A458" s="599"/>
      <c r="B458" s="602"/>
      <c r="C458" s="7">
        <v>2016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1"/>
    </row>
    <row r="459" spans="1:10" ht="14.25" customHeight="1" x14ac:dyDescent="0.2">
      <c r="A459" s="600"/>
      <c r="B459" s="603"/>
      <c r="C459" s="7">
        <v>2017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1"/>
    </row>
    <row r="460" spans="1:10" ht="14.25" customHeight="1" x14ac:dyDescent="0.2">
      <c r="A460" s="598" t="s">
        <v>269</v>
      </c>
      <c r="B460" s="593" t="s">
        <v>270</v>
      </c>
      <c r="C460" s="9" t="s">
        <v>198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1"/>
    </row>
    <row r="461" spans="1:10" ht="14.25" customHeight="1" x14ac:dyDescent="0.2">
      <c r="A461" s="599"/>
      <c r="B461" s="593"/>
      <c r="C461" s="7">
        <v>2015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1"/>
    </row>
    <row r="462" spans="1:10" ht="14.25" customHeight="1" x14ac:dyDescent="0.2">
      <c r="A462" s="600"/>
      <c r="B462" s="593"/>
      <c r="C462" s="7">
        <v>2016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1"/>
    </row>
    <row r="463" spans="1:10" x14ac:dyDescent="0.2">
      <c r="A463" s="596" t="s">
        <v>271</v>
      </c>
      <c r="B463" s="592" t="s">
        <v>272</v>
      </c>
      <c r="C463" s="9" t="s">
        <v>198</v>
      </c>
      <c r="D463" s="10">
        <f t="shared" ref="D463:I463" si="116">D467+D468+D469</f>
        <v>0.30846299999999999</v>
      </c>
      <c r="E463" s="10">
        <f t="shared" si="116"/>
        <v>0.30846299999999999</v>
      </c>
      <c r="F463" s="10">
        <f t="shared" si="116"/>
        <v>0</v>
      </c>
      <c r="G463" s="10">
        <f t="shared" si="116"/>
        <v>0</v>
      </c>
      <c r="H463" s="10">
        <f t="shared" si="116"/>
        <v>0</v>
      </c>
      <c r="I463" s="10">
        <f t="shared" si="116"/>
        <v>0</v>
      </c>
      <c r="J463" s="11"/>
    </row>
    <row r="464" spans="1:10" x14ac:dyDescent="0.2">
      <c r="A464" s="596"/>
      <c r="B464" s="592"/>
      <c r="C464" s="9">
        <v>2015</v>
      </c>
      <c r="D464" s="10">
        <f t="shared" ref="D464:D469" si="117">E464+F464+G464+H464+I464</f>
        <v>0.102821</v>
      </c>
      <c r="E464" s="10">
        <v>0.102821</v>
      </c>
      <c r="F464" s="10">
        <v>0</v>
      </c>
      <c r="G464" s="10">
        <v>0</v>
      </c>
      <c r="H464" s="10">
        <v>0</v>
      </c>
      <c r="I464" s="10">
        <v>0</v>
      </c>
      <c r="J464" s="11"/>
    </row>
    <row r="465" spans="1:10" x14ac:dyDescent="0.2">
      <c r="A465" s="596"/>
      <c r="B465" s="592"/>
      <c r="C465" s="9">
        <v>2016</v>
      </c>
      <c r="D465" s="10">
        <f t="shared" si="117"/>
        <v>0.102821</v>
      </c>
      <c r="E465" s="10">
        <v>0.102821</v>
      </c>
      <c r="F465" s="10">
        <v>0</v>
      </c>
      <c r="G465" s="10">
        <v>0</v>
      </c>
      <c r="H465" s="10">
        <v>0</v>
      </c>
      <c r="I465" s="10">
        <v>0</v>
      </c>
      <c r="J465" s="11"/>
    </row>
    <row r="466" spans="1:10" x14ac:dyDescent="0.2">
      <c r="A466" s="596"/>
      <c r="B466" s="592"/>
      <c r="C466" s="9">
        <v>2017</v>
      </c>
      <c r="D466" s="10">
        <f t="shared" si="117"/>
        <v>0.102821</v>
      </c>
      <c r="E466" s="10">
        <v>0.102821</v>
      </c>
      <c r="F466" s="10">
        <v>0</v>
      </c>
      <c r="G466" s="10">
        <v>0</v>
      </c>
      <c r="H466" s="10">
        <v>0</v>
      </c>
      <c r="I466" s="10">
        <v>0</v>
      </c>
      <c r="J466" s="11"/>
    </row>
    <row r="467" spans="1:10" ht="12.75" customHeight="1" x14ac:dyDescent="0.2">
      <c r="A467" s="596" t="s">
        <v>213</v>
      </c>
      <c r="B467" s="595" t="s">
        <v>273</v>
      </c>
      <c r="C467" s="7">
        <v>2015</v>
      </c>
      <c r="D467" s="15">
        <f t="shared" si="117"/>
        <v>0.102821</v>
      </c>
      <c r="E467" s="15">
        <v>0.102821</v>
      </c>
      <c r="F467" s="15">
        <v>0</v>
      </c>
      <c r="G467" s="15">
        <v>0</v>
      </c>
      <c r="H467" s="15">
        <v>0</v>
      </c>
      <c r="I467" s="15">
        <v>0</v>
      </c>
      <c r="J467" s="11"/>
    </row>
    <row r="468" spans="1:10" x14ac:dyDescent="0.2">
      <c r="A468" s="596"/>
      <c r="B468" s="595"/>
      <c r="C468" s="7">
        <v>2016</v>
      </c>
      <c r="D468" s="15">
        <f t="shared" si="117"/>
        <v>0.102821</v>
      </c>
      <c r="E468" s="15">
        <v>0.102821</v>
      </c>
      <c r="F468" s="15">
        <v>0</v>
      </c>
      <c r="G468" s="15">
        <v>0</v>
      </c>
      <c r="H468" s="15">
        <v>0</v>
      </c>
      <c r="I468" s="15">
        <v>0</v>
      </c>
      <c r="J468" s="11"/>
    </row>
    <row r="469" spans="1:10" ht="39.75" customHeight="1" x14ac:dyDescent="0.2">
      <c r="A469" s="596"/>
      <c r="B469" s="595"/>
      <c r="C469" s="7">
        <v>2017</v>
      </c>
      <c r="D469" s="15">
        <f t="shared" si="117"/>
        <v>0.102821</v>
      </c>
      <c r="E469" s="15">
        <v>0.102821</v>
      </c>
      <c r="F469" s="15">
        <v>0</v>
      </c>
      <c r="G469" s="15">
        <v>0</v>
      </c>
      <c r="H469" s="15">
        <v>0</v>
      </c>
      <c r="I469" s="15">
        <v>0</v>
      </c>
      <c r="J469" s="11"/>
    </row>
    <row r="470" spans="1:10" x14ac:dyDescent="0.2">
      <c r="A470" s="596" t="s">
        <v>274</v>
      </c>
      <c r="B470" s="586" t="s">
        <v>275</v>
      </c>
      <c r="C470" s="9" t="s">
        <v>198</v>
      </c>
      <c r="D470" s="15">
        <f t="shared" ref="D470:I470" si="118">D471+D472+D473</f>
        <v>0.30846299999999999</v>
      </c>
      <c r="E470" s="15">
        <f t="shared" si="118"/>
        <v>0.30846299999999999</v>
      </c>
      <c r="F470" s="15">
        <f t="shared" si="118"/>
        <v>0</v>
      </c>
      <c r="G470" s="15">
        <f t="shared" si="118"/>
        <v>0</v>
      </c>
      <c r="H470" s="15">
        <f t="shared" si="118"/>
        <v>0</v>
      </c>
      <c r="I470" s="15">
        <f t="shared" si="118"/>
        <v>0</v>
      </c>
      <c r="J470" s="11"/>
    </row>
    <row r="471" spans="1:10" x14ac:dyDescent="0.2">
      <c r="A471" s="596"/>
      <c r="B471" s="586"/>
      <c r="C471" s="7">
        <v>2015</v>
      </c>
      <c r="D471" s="15">
        <f>E471+F471+G471+H471+I471</f>
        <v>0.102821</v>
      </c>
      <c r="E471" s="15">
        <v>0.102821</v>
      </c>
      <c r="F471" s="15">
        <v>0</v>
      </c>
      <c r="G471" s="15">
        <v>0</v>
      </c>
      <c r="H471" s="15">
        <v>0</v>
      </c>
      <c r="I471" s="15">
        <v>0</v>
      </c>
      <c r="J471" s="11"/>
    </row>
    <row r="472" spans="1:10" x14ac:dyDescent="0.2">
      <c r="A472" s="596"/>
      <c r="B472" s="586"/>
      <c r="C472" s="7">
        <v>2016</v>
      </c>
      <c r="D472" s="15">
        <f>E472+F472+G472+H472+I472</f>
        <v>0.102821</v>
      </c>
      <c r="E472" s="15">
        <v>0.102821</v>
      </c>
      <c r="F472" s="15">
        <v>0</v>
      </c>
      <c r="G472" s="15">
        <v>0</v>
      </c>
      <c r="H472" s="15">
        <v>0</v>
      </c>
      <c r="I472" s="15">
        <v>0</v>
      </c>
      <c r="J472" s="11"/>
    </row>
    <row r="473" spans="1:10" x14ac:dyDescent="0.2">
      <c r="A473" s="596"/>
      <c r="B473" s="586"/>
      <c r="C473" s="7">
        <v>2017</v>
      </c>
      <c r="D473" s="15">
        <f>E473+F473+G473+H473+I473</f>
        <v>0.102821</v>
      </c>
      <c r="E473" s="15">
        <v>0.102821</v>
      </c>
      <c r="F473" s="15">
        <v>0</v>
      </c>
      <c r="G473" s="15">
        <v>0</v>
      </c>
      <c r="H473" s="15">
        <v>0</v>
      </c>
      <c r="I473" s="15">
        <v>0</v>
      </c>
      <c r="J473" s="11"/>
    </row>
    <row r="474" spans="1:10" x14ac:dyDescent="0.2">
      <c r="A474" s="596" t="s">
        <v>276</v>
      </c>
      <c r="B474" s="595" t="s">
        <v>277</v>
      </c>
      <c r="C474" s="9" t="s">
        <v>198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1"/>
    </row>
    <row r="475" spans="1:10" x14ac:dyDescent="0.2">
      <c r="A475" s="596"/>
      <c r="B475" s="595"/>
      <c r="C475" s="7">
        <v>2015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1"/>
    </row>
    <row r="476" spans="1:10" x14ac:dyDescent="0.2">
      <c r="A476" s="596"/>
      <c r="B476" s="595"/>
      <c r="C476" s="7">
        <v>2016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1"/>
    </row>
    <row r="477" spans="1:10" ht="39" customHeight="1" x14ac:dyDescent="0.2">
      <c r="A477" s="596"/>
      <c r="B477" s="595"/>
      <c r="C477" s="7">
        <v>2017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1"/>
    </row>
    <row r="478" spans="1:10" x14ac:dyDescent="0.2">
      <c r="A478" s="596" t="s">
        <v>278</v>
      </c>
      <c r="B478" s="595" t="s">
        <v>279</v>
      </c>
      <c r="C478" s="9" t="s">
        <v>198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1"/>
    </row>
    <row r="479" spans="1:10" x14ac:dyDescent="0.2">
      <c r="A479" s="596"/>
      <c r="B479" s="595"/>
      <c r="C479" s="7">
        <v>2015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1"/>
    </row>
    <row r="480" spans="1:10" x14ac:dyDescent="0.2">
      <c r="A480" s="596"/>
      <c r="B480" s="595"/>
      <c r="C480" s="7">
        <v>2016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1"/>
    </row>
    <row r="481" spans="1:10" x14ac:dyDescent="0.2">
      <c r="A481" s="596"/>
      <c r="B481" s="595"/>
      <c r="C481" s="7">
        <v>2017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1"/>
    </row>
    <row r="482" spans="1:10" x14ac:dyDescent="0.2">
      <c r="A482" s="596" t="s">
        <v>280</v>
      </c>
      <c r="B482" s="595" t="s">
        <v>281</v>
      </c>
      <c r="C482" s="9" t="s">
        <v>198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1"/>
    </row>
    <row r="483" spans="1:10" x14ac:dyDescent="0.2">
      <c r="A483" s="596"/>
      <c r="B483" s="595"/>
      <c r="C483" s="7">
        <v>2015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1"/>
    </row>
    <row r="484" spans="1:10" x14ac:dyDescent="0.2">
      <c r="A484" s="596"/>
      <c r="B484" s="595"/>
      <c r="C484" s="7">
        <v>2016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1"/>
    </row>
    <row r="485" spans="1:10" ht="29.25" customHeight="1" x14ac:dyDescent="0.2">
      <c r="A485" s="596"/>
      <c r="B485" s="595"/>
      <c r="C485" s="7">
        <v>2017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0</v>
      </c>
      <c r="J485" s="11"/>
    </row>
    <row r="486" spans="1:10" x14ac:dyDescent="0.2">
      <c r="A486" s="596" t="s">
        <v>282</v>
      </c>
      <c r="B486" s="586" t="s">
        <v>283</v>
      </c>
      <c r="C486" s="9" t="s">
        <v>198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1"/>
    </row>
    <row r="487" spans="1:10" x14ac:dyDescent="0.2">
      <c r="A487" s="596"/>
      <c r="B487" s="586"/>
      <c r="C487" s="7">
        <v>2015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1"/>
    </row>
    <row r="488" spans="1:10" x14ac:dyDescent="0.2">
      <c r="A488" s="596"/>
      <c r="B488" s="586"/>
      <c r="C488" s="7">
        <v>2016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1"/>
    </row>
    <row r="489" spans="1:10" ht="27" customHeight="1" x14ac:dyDescent="0.2">
      <c r="A489" s="596"/>
      <c r="B489" s="586"/>
      <c r="C489" s="7">
        <v>2017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1"/>
    </row>
    <row r="490" spans="1:10" x14ac:dyDescent="0.2">
      <c r="A490" s="596" t="s">
        <v>284</v>
      </c>
      <c r="B490" s="586" t="s">
        <v>285</v>
      </c>
      <c r="C490" s="9" t="s">
        <v>198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1"/>
    </row>
    <row r="491" spans="1:10" x14ac:dyDescent="0.2">
      <c r="A491" s="596"/>
      <c r="B491" s="586"/>
      <c r="C491" s="7">
        <v>2015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1"/>
    </row>
    <row r="492" spans="1:10" x14ac:dyDescent="0.2">
      <c r="A492" s="596"/>
      <c r="B492" s="586"/>
      <c r="C492" s="7">
        <v>2016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1"/>
    </row>
    <row r="493" spans="1:10" x14ac:dyDescent="0.2">
      <c r="A493" s="596"/>
      <c r="B493" s="586"/>
      <c r="C493" s="7">
        <v>2017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1"/>
    </row>
    <row r="494" spans="1:10" x14ac:dyDescent="0.2">
      <c r="A494" s="583" t="s">
        <v>286</v>
      </c>
      <c r="B494" s="604" t="s">
        <v>287</v>
      </c>
      <c r="C494" s="9" t="s">
        <v>198</v>
      </c>
      <c r="D494" s="34">
        <f t="shared" ref="D494:I497" si="119">D498+D502+D506</f>
        <v>9.4406999999999996</v>
      </c>
      <c r="E494" s="34">
        <f t="shared" si="119"/>
        <v>9.4406999999999996</v>
      </c>
      <c r="F494" s="34">
        <f t="shared" si="119"/>
        <v>0</v>
      </c>
      <c r="G494" s="34">
        <f t="shared" si="119"/>
        <v>0</v>
      </c>
      <c r="H494" s="34">
        <f t="shared" si="119"/>
        <v>0</v>
      </c>
      <c r="I494" s="34">
        <f t="shared" si="119"/>
        <v>0</v>
      </c>
      <c r="J494" s="11"/>
    </row>
    <row r="495" spans="1:10" x14ac:dyDescent="0.2">
      <c r="A495" s="583"/>
      <c r="B495" s="604"/>
      <c r="C495" s="7">
        <v>2015</v>
      </c>
      <c r="D495" s="15">
        <f t="shared" si="119"/>
        <v>5.0084</v>
      </c>
      <c r="E495" s="15">
        <f t="shared" si="119"/>
        <v>5.0084</v>
      </c>
      <c r="F495" s="15">
        <f t="shared" si="119"/>
        <v>0</v>
      </c>
      <c r="G495" s="15">
        <f t="shared" si="119"/>
        <v>0</v>
      </c>
      <c r="H495" s="15">
        <f t="shared" si="119"/>
        <v>0</v>
      </c>
      <c r="I495" s="15">
        <f t="shared" si="119"/>
        <v>0</v>
      </c>
      <c r="J495" s="11"/>
    </row>
    <row r="496" spans="1:10" x14ac:dyDescent="0.2">
      <c r="A496" s="583"/>
      <c r="B496" s="604"/>
      <c r="C496" s="7">
        <v>2016</v>
      </c>
      <c r="D496" s="15">
        <f t="shared" si="119"/>
        <v>1.2593999999999999</v>
      </c>
      <c r="E496" s="15">
        <f t="shared" si="119"/>
        <v>1.2593999999999999</v>
      </c>
      <c r="F496" s="15">
        <f t="shared" si="119"/>
        <v>0</v>
      </c>
      <c r="G496" s="15">
        <f t="shared" si="119"/>
        <v>0</v>
      </c>
      <c r="H496" s="15">
        <f t="shared" si="119"/>
        <v>0</v>
      </c>
      <c r="I496" s="15">
        <f t="shared" si="119"/>
        <v>0</v>
      </c>
      <c r="J496" s="11"/>
    </row>
    <row r="497" spans="1:11" x14ac:dyDescent="0.2">
      <c r="A497" s="583"/>
      <c r="B497" s="604"/>
      <c r="C497" s="7">
        <v>2017</v>
      </c>
      <c r="D497" s="15">
        <f t="shared" si="119"/>
        <v>3.1729000000000003</v>
      </c>
      <c r="E497" s="15">
        <f t="shared" si="119"/>
        <v>3.1729000000000003</v>
      </c>
      <c r="F497" s="15">
        <f t="shared" si="119"/>
        <v>0</v>
      </c>
      <c r="G497" s="15">
        <f t="shared" si="119"/>
        <v>0</v>
      </c>
      <c r="H497" s="15">
        <f t="shared" si="119"/>
        <v>0</v>
      </c>
      <c r="I497" s="15">
        <f t="shared" si="119"/>
        <v>0</v>
      </c>
      <c r="J497" s="11"/>
    </row>
    <row r="498" spans="1:11" ht="15.75" customHeight="1" x14ac:dyDescent="0.2">
      <c r="A498" s="583" t="s">
        <v>215</v>
      </c>
      <c r="B498" s="593" t="s">
        <v>288</v>
      </c>
      <c r="C498" s="9" t="s">
        <v>198</v>
      </c>
      <c r="D498" s="34">
        <f t="shared" ref="D498:I498" si="120">D499+D500+D501</f>
        <v>2.5129999999999999</v>
      </c>
      <c r="E498" s="34">
        <f t="shared" si="120"/>
        <v>2.5129999999999999</v>
      </c>
      <c r="F498" s="34">
        <f t="shared" si="120"/>
        <v>0</v>
      </c>
      <c r="G498" s="34">
        <f t="shared" si="120"/>
        <v>0</v>
      </c>
      <c r="H498" s="34">
        <f t="shared" si="120"/>
        <v>0</v>
      </c>
      <c r="I498" s="34">
        <f t="shared" si="120"/>
        <v>0</v>
      </c>
      <c r="J498" s="11"/>
    </row>
    <row r="499" spans="1:11" x14ac:dyDescent="0.2">
      <c r="A499" s="583"/>
      <c r="B499" s="593"/>
      <c r="C499" s="7">
        <v>2015</v>
      </c>
      <c r="D499" s="29">
        <f>E499+F499+G499+H499+I499</f>
        <v>1.1654</v>
      </c>
      <c r="E499" s="29">
        <f>1165.4/1000</f>
        <v>1.1654</v>
      </c>
      <c r="F499" s="29">
        <v>0</v>
      </c>
      <c r="G499" s="29">
        <v>0</v>
      </c>
      <c r="H499" s="29">
        <v>0</v>
      </c>
      <c r="I499" s="29">
        <v>0</v>
      </c>
      <c r="J499" s="11"/>
    </row>
    <row r="500" spans="1:11" x14ac:dyDescent="0.2">
      <c r="A500" s="583"/>
      <c r="B500" s="593"/>
      <c r="C500" s="7">
        <v>2016</v>
      </c>
      <c r="D500" s="29">
        <f>E500+F500+G500+H500+I500</f>
        <v>0.36060000000000003</v>
      </c>
      <c r="E500" s="29">
        <f>360.6/1000</f>
        <v>0.36060000000000003</v>
      </c>
      <c r="F500" s="29">
        <v>0</v>
      </c>
      <c r="G500" s="29">
        <v>0</v>
      </c>
      <c r="H500" s="29">
        <v>0</v>
      </c>
      <c r="I500" s="29">
        <v>0</v>
      </c>
      <c r="J500" s="11"/>
    </row>
    <row r="501" spans="1:11" x14ac:dyDescent="0.2">
      <c r="A501" s="583"/>
      <c r="B501" s="593"/>
      <c r="C501" s="7">
        <v>2017</v>
      </c>
      <c r="D501" s="29">
        <f>E501+F501+G501+H501+I501</f>
        <v>0.98699999999999999</v>
      </c>
      <c r="E501" s="29">
        <f>987/1000</f>
        <v>0.98699999999999999</v>
      </c>
      <c r="F501" s="29">
        <v>0</v>
      </c>
      <c r="G501" s="29">
        <v>0</v>
      </c>
      <c r="H501" s="29">
        <v>0</v>
      </c>
      <c r="I501" s="29">
        <v>0</v>
      </c>
      <c r="J501" s="11"/>
    </row>
    <row r="502" spans="1:11" x14ac:dyDescent="0.2">
      <c r="A502" s="583" t="s">
        <v>216</v>
      </c>
      <c r="B502" s="593" t="s">
        <v>289</v>
      </c>
      <c r="C502" s="9" t="s">
        <v>198</v>
      </c>
      <c r="D502" s="29">
        <f t="shared" ref="D502:I502" si="121">D503+D504+D505</f>
        <v>5.141</v>
      </c>
      <c r="E502" s="29">
        <f t="shared" si="121"/>
        <v>5.141</v>
      </c>
      <c r="F502" s="29">
        <f t="shared" si="121"/>
        <v>0</v>
      </c>
      <c r="G502" s="29">
        <f t="shared" si="121"/>
        <v>0</v>
      </c>
      <c r="H502" s="29">
        <f t="shared" si="121"/>
        <v>0</v>
      </c>
      <c r="I502" s="29">
        <f t="shared" si="121"/>
        <v>0</v>
      </c>
      <c r="J502" s="11"/>
    </row>
    <row r="503" spans="1:11" x14ac:dyDescent="0.2">
      <c r="A503" s="583"/>
      <c r="B503" s="593"/>
      <c r="C503" s="7">
        <v>2015</v>
      </c>
      <c r="D503" s="29">
        <f>E503+F503+G503+H503+I503</f>
        <v>2.0563000000000002</v>
      </c>
      <c r="E503" s="29">
        <f>2056.3/1000</f>
        <v>2.0563000000000002</v>
      </c>
      <c r="F503" s="29">
        <v>0</v>
      </c>
      <c r="G503" s="29">
        <v>0</v>
      </c>
      <c r="H503" s="29">
        <v>0</v>
      </c>
      <c r="I503" s="29">
        <v>0</v>
      </c>
      <c r="J503" s="11"/>
    </row>
    <row r="504" spans="1:11" x14ac:dyDescent="0.2">
      <c r="A504" s="583"/>
      <c r="B504" s="593"/>
      <c r="C504" s="7">
        <v>2016</v>
      </c>
      <c r="D504" s="29">
        <f>E504+F504+G504+H504+I504</f>
        <v>0.89879999999999993</v>
      </c>
      <c r="E504" s="29">
        <f>898.8/1000</f>
        <v>0.89879999999999993</v>
      </c>
      <c r="F504" s="29">
        <v>0</v>
      </c>
      <c r="G504" s="29">
        <v>0</v>
      </c>
      <c r="H504" s="29">
        <v>0</v>
      </c>
      <c r="I504" s="29">
        <v>0</v>
      </c>
      <c r="J504" s="11"/>
    </row>
    <row r="505" spans="1:11" x14ac:dyDescent="0.2">
      <c r="A505" s="583"/>
      <c r="B505" s="593"/>
      <c r="C505" s="7">
        <v>2017</v>
      </c>
      <c r="D505" s="29">
        <f>E505+F505+G505+H505+I505</f>
        <v>2.1859000000000002</v>
      </c>
      <c r="E505" s="29">
        <f>2185.9/1000</f>
        <v>2.1859000000000002</v>
      </c>
      <c r="F505" s="29">
        <v>0</v>
      </c>
      <c r="G505" s="29">
        <v>0</v>
      </c>
      <c r="H505" s="29">
        <v>0</v>
      </c>
      <c r="I505" s="29">
        <v>0</v>
      </c>
      <c r="J505" s="11"/>
    </row>
    <row r="506" spans="1:11" x14ac:dyDescent="0.2">
      <c r="A506" s="583" t="s">
        <v>290</v>
      </c>
      <c r="B506" s="593" t="s">
        <v>291</v>
      </c>
      <c r="C506" s="9" t="s">
        <v>198</v>
      </c>
      <c r="D506" s="29">
        <f t="shared" ref="D506:I506" si="122">D507+D508+D509</f>
        <v>1.7867</v>
      </c>
      <c r="E506" s="29">
        <f t="shared" si="122"/>
        <v>1.7867</v>
      </c>
      <c r="F506" s="29">
        <f t="shared" si="122"/>
        <v>0</v>
      </c>
      <c r="G506" s="29">
        <f t="shared" si="122"/>
        <v>0</v>
      </c>
      <c r="H506" s="29">
        <f t="shared" si="122"/>
        <v>0</v>
      </c>
      <c r="I506" s="29">
        <f t="shared" si="122"/>
        <v>0</v>
      </c>
      <c r="J506" s="11"/>
    </row>
    <row r="507" spans="1:11" x14ac:dyDescent="0.2">
      <c r="A507" s="583"/>
      <c r="B507" s="593"/>
      <c r="C507" s="7">
        <v>2015</v>
      </c>
      <c r="D507" s="29">
        <f>E507+F507+G507+H507+I507</f>
        <v>1.7867</v>
      </c>
      <c r="E507" s="29">
        <f>1786.7/1000</f>
        <v>1.7867</v>
      </c>
      <c r="F507" s="29">
        <v>0</v>
      </c>
      <c r="G507" s="29">
        <v>0</v>
      </c>
      <c r="H507" s="29">
        <v>0</v>
      </c>
      <c r="I507" s="29">
        <v>0</v>
      </c>
      <c r="J507" s="11"/>
    </row>
    <row r="508" spans="1:11" x14ac:dyDescent="0.2">
      <c r="A508" s="583"/>
      <c r="B508" s="593"/>
      <c r="C508" s="7">
        <v>2016</v>
      </c>
      <c r="D508" s="29">
        <f>E508+F508+G508+H508+I508</f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11"/>
    </row>
    <row r="509" spans="1:11" x14ac:dyDescent="0.2">
      <c r="A509" s="583"/>
      <c r="B509" s="593"/>
      <c r="C509" s="7">
        <v>2017</v>
      </c>
      <c r="D509" s="29">
        <f>E509+F509+G509+H509+I509</f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11"/>
    </row>
    <row r="510" spans="1:11" x14ac:dyDescent="0.2">
      <c r="A510" s="589" t="s">
        <v>292</v>
      </c>
      <c r="B510" s="592" t="s">
        <v>293</v>
      </c>
      <c r="C510" s="9" t="s">
        <v>198</v>
      </c>
      <c r="D510" s="34">
        <f t="shared" ref="D510:I510" si="123">D511+D512+D513</f>
        <v>160.19829999999999</v>
      </c>
      <c r="E510" s="34">
        <f t="shared" si="123"/>
        <v>152.78109999999998</v>
      </c>
      <c r="F510" s="34">
        <f t="shared" si="123"/>
        <v>0</v>
      </c>
      <c r="G510" s="34">
        <f t="shared" si="123"/>
        <v>0</v>
      </c>
      <c r="H510" s="34">
        <f t="shared" si="123"/>
        <v>0</v>
      </c>
      <c r="I510" s="34">
        <f t="shared" si="123"/>
        <v>7.4172000000000002</v>
      </c>
      <c r="J510" s="11"/>
      <c r="K510" s="20"/>
    </row>
    <row r="511" spans="1:11" x14ac:dyDescent="0.2">
      <c r="A511" s="590"/>
      <c r="B511" s="592"/>
      <c r="C511" s="7">
        <v>2015</v>
      </c>
      <c r="D511" s="8">
        <f t="shared" ref="D511:I513" si="124">D515</f>
        <v>57.426099999999998</v>
      </c>
      <c r="E511" s="8">
        <f t="shared" si="124"/>
        <v>50.008899999999997</v>
      </c>
      <c r="F511" s="8">
        <f t="shared" si="124"/>
        <v>0</v>
      </c>
      <c r="G511" s="8">
        <f t="shared" si="124"/>
        <v>0</v>
      </c>
      <c r="H511" s="8">
        <f t="shared" si="124"/>
        <v>0</v>
      </c>
      <c r="I511" s="8">
        <f t="shared" si="124"/>
        <v>7.4172000000000002</v>
      </c>
      <c r="J511" s="11"/>
      <c r="K511" s="20"/>
    </row>
    <row r="512" spans="1:11" x14ac:dyDescent="0.2">
      <c r="A512" s="590"/>
      <c r="B512" s="592"/>
      <c r="C512" s="7">
        <v>2016</v>
      </c>
      <c r="D512" s="8">
        <f t="shared" si="124"/>
        <v>50.743899999999996</v>
      </c>
      <c r="E512" s="8">
        <f t="shared" si="124"/>
        <v>50.743899999999996</v>
      </c>
      <c r="F512" s="8">
        <f t="shared" si="124"/>
        <v>0</v>
      </c>
      <c r="G512" s="8">
        <f t="shared" si="124"/>
        <v>0</v>
      </c>
      <c r="H512" s="8">
        <f t="shared" si="124"/>
        <v>0</v>
      </c>
      <c r="I512" s="8">
        <f t="shared" si="124"/>
        <v>0</v>
      </c>
      <c r="J512" s="11"/>
      <c r="K512" s="20"/>
    </row>
    <row r="513" spans="1:11" x14ac:dyDescent="0.2">
      <c r="A513" s="591"/>
      <c r="B513" s="592"/>
      <c r="C513" s="7">
        <v>2017</v>
      </c>
      <c r="D513" s="8">
        <f t="shared" si="124"/>
        <v>52.028300000000002</v>
      </c>
      <c r="E513" s="8">
        <f t="shared" si="124"/>
        <v>52.028300000000002</v>
      </c>
      <c r="F513" s="8">
        <f t="shared" si="124"/>
        <v>0</v>
      </c>
      <c r="G513" s="8">
        <f t="shared" si="124"/>
        <v>0</v>
      </c>
      <c r="H513" s="8">
        <f t="shared" si="124"/>
        <v>0</v>
      </c>
      <c r="I513" s="8">
        <f t="shared" si="124"/>
        <v>0</v>
      </c>
      <c r="J513" s="11"/>
      <c r="K513" s="20"/>
    </row>
    <row r="514" spans="1:11" ht="12.75" customHeight="1" x14ac:dyDescent="0.2">
      <c r="A514" s="583" t="s">
        <v>294</v>
      </c>
      <c r="B514" s="594" t="s">
        <v>295</v>
      </c>
      <c r="C514" s="9" t="s">
        <v>198</v>
      </c>
      <c r="D514" s="34">
        <f t="shared" ref="D514:I514" si="125">D515+D516+D517</f>
        <v>160.19829999999999</v>
      </c>
      <c r="E514" s="34">
        <f>E518+E530+E546</f>
        <v>152.78110000000001</v>
      </c>
      <c r="F514" s="34">
        <f t="shared" si="125"/>
        <v>0</v>
      </c>
      <c r="G514" s="34">
        <f t="shared" si="125"/>
        <v>0</v>
      </c>
      <c r="H514" s="34">
        <f t="shared" si="125"/>
        <v>0</v>
      </c>
      <c r="I514" s="34">
        <f t="shared" si="125"/>
        <v>7.4172000000000002</v>
      </c>
      <c r="J514" s="11"/>
      <c r="K514" s="20"/>
    </row>
    <row r="515" spans="1:11" x14ac:dyDescent="0.2">
      <c r="A515" s="583"/>
      <c r="B515" s="594"/>
      <c r="C515" s="7">
        <v>2015</v>
      </c>
      <c r="D515" s="29">
        <f>E515+F515+G515+H515+I515</f>
        <v>57.426099999999998</v>
      </c>
      <c r="E515" s="34">
        <f>E519+E531+E547</f>
        <v>50.008899999999997</v>
      </c>
      <c r="F515" s="29">
        <v>0</v>
      </c>
      <c r="G515" s="29">
        <v>0</v>
      </c>
      <c r="H515" s="29">
        <v>0</v>
      </c>
      <c r="I515" s="29">
        <f>7417.2/1000</f>
        <v>7.4172000000000002</v>
      </c>
      <c r="J515" s="11"/>
      <c r="K515" s="20"/>
    </row>
    <row r="516" spans="1:11" x14ac:dyDescent="0.2">
      <c r="A516" s="583"/>
      <c r="B516" s="594"/>
      <c r="C516" s="7">
        <v>2016</v>
      </c>
      <c r="D516" s="29">
        <f>E516+F516+G516+H516+I516</f>
        <v>50.743899999999996</v>
      </c>
      <c r="E516" s="34">
        <f>E520+E532+E548</f>
        <v>50.743899999999996</v>
      </c>
      <c r="F516" s="29">
        <v>0</v>
      </c>
      <c r="G516" s="29">
        <v>0</v>
      </c>
      <c r="H516" s="29">
        <v>0</v>
      </c>
      <c r="I516" s="29">
        <v>0</v>
      </c>
      <c r="J516" s="11"/>
      <c r="K516" s="20"/>
    </row>
    <row r="517" spans="1:11" x14ac:dyDescent="0.2">
      <c r="A517" s="583"/>
      <c r="B517" s="594"/>
      <c r="C517" s="7">
        <v>2017</v>
      </c>
      <c r="D517" s="29">
        <f>E517+F517+G517+H517+I517</f>
        <v>52.028300000000002</v>
      </c>
      <c r="E517" s="34">
        <f>E521+E533+E549</f>
        <v>52.028300000000002</v>
      </c>
      <c r="F517" s="31">
        <v>0</v>
      </c>
      <c r="G517" s="31">
        <v>0</v>
      </c>
      <c r="H517" s="31">
        <v>0</v>
      </c>
      <c r="I517" s="31">
        <v>0</v>
      </c>
      <c r="J517" s="11"/>
    </row>
    <row r="518" spans="1:11" ht="12.75" customHeight="1" x14ac:dyDescent="0.2">
      <c r="A518" s="583" t="s">
        <v>296</v>
      </c>
      <c r="B518" s="595" t="s">
        <v>297</v>
      </c>
      <c r="C518" s="9" t="s">
        <v>198</v>
      </c>
      <c r="D518" s="34">
        <f t="shared" ref="D518:I518" si="126">D519+D520+D521</f>
        <v>0.18099999999999999</v>
      </c>
      <c r="E518" s="34">
        <f t="shared" si="126"/>
        <v>0.18099999999999999</v>
      </c>
      <c r="F518" s="34">
        <f t="shared" si="126"/>
        <v>0</v>
      </c>
      <c r="G518" s="34">
        <f t="shared" si="126"/>
        <v>0</v>
      </c>
      <c r="H518" s="34">
        <f t="shared" si="126"/>
        <v>0</v>
      </c>
      <c r="I518" s="34">
        <f t="shared" si="126"/>
        <v>0</v>
      </c>
      <c r="J518" s="11"/>
    </row>
    <row r="519" spans="1:11" x14ac:dyDescent="0.2">
      <c r="A519" s="583"/>
      <c r="B519" s="595"/>
      <c r="C519" s="7">
        <v>2015</v>
      </c>
      <c r="D519" s="29">
        <f>E519+F519+G519+H519+I519</f>
        <v>0.18099999999999999</v>
      </c>
      <c r="E519" s="29">
        <f>181/1000</f>
        <v>0.18099999999999999</v>
      </c>
      <c r="F519" s="29">
        <v>0</v>
      </c>
      <c r="G519" s="29">
        <v>0</v>
      </c>
      <c r="H519" s="29">
        <v>0</v>
      </c>
      <c r="I519" s="29">
        <v>0</v>
      </c>
      <c r="J519" s="11"/>
    </row>
    <row r="520" spans="1:11" x14ac:dyDescent="0.2">
      <c r="A520" s="583"/>
      <c r="B520" s="595"/>
      <c r="C520" s="7">
        <v>2016</v>
      </c>
      <c r="D520" s="29">
        <f>E520+F520+G520+H520+I520</f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11"/>
    </row>
    <row r="521" spans="1:11" x14ac:dyDescent="0.2">
      <c r="A521" s="583"/>
      <c r="B521" s="595"/>
      <c r="C521" s="7">
        <v>2017</v>
      </c>
      <c r="D521" s="29">
        <f>E521+F521+G521+H521+I521</f>
        <v>0</v>
      </c>
      <c r="E521" s="31">
        <v>0</v>
      </c>
      <c r="F521" s="29">
        <v>0</v>
      </c>
      <c r="G521" s="29">
        <v>0</v>
      </c>
      <c r="H521" s="29">
        <v>0</v>
      </c>
      <c r="I521" s="29">
        <v>0</v>
      </c>
      <c r="J521" s="11"/>
    </row>
    <row r="522" spans="1:11" x14ac:dyDescent="0.2">
      <c r="A522" s="583" t="s">
        <v>296</v>
      </c>
      <c r="B522" s="593" t="s">
        <v>298</v>
      </c>
      <c r="C522" s="9" t="s">
        <v>198</v>
      </c>
      <c r="D522" s="34">
        <f>D523+D524+D525</f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11"/>
    </row>
    <row r="523" spans="1:11" x14ac:dyDescent="0.2">
      <c r="A523" s="583"/>
      <c r="B523" s="593"/>
      <c r="C523" s="7">
        <v>2015</v>
      </c>
      <c r="D523" s="29">
        <f>E523+F523+G523+H523+I523</f>
        <v>0</v>
      </c>
      <c r="E523" s="31">
        <v>0</v>
      </c>
      <c r="F523" s="29">
        <v>0</v>
      </c>
      <c r="G523" s="29">
        <v>0</v>
      </c>
      <c r="H523" s="29">
        <v>0</v>
      </c>
      <c r="I523" s="29">
        <v>0</v>
      </c>
      <c r="J523" s="11"/>
    </row>
    <row r="524" spans="1:11" x14ac:dyDescent="0.2">
      <c r="A524" s="583"/>
      <c r="B524" s="593"/>
      <c r="C524" s="7">
        <v>2016</v>
      </c>
      <c r="D524" s="29">
        <f>E524+F524+G524+H524+I524</f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11"/>
    </row>
    <row r="525" spans="1:11" x14ac:dyDescent="0.2">
      <c r="A525" s="583"/>
      <c r="B525" s="593"/>
      <c r="C525" s="7">
        <v>2017</v>
      </c>
      <c r="D525" s="29">
        <f>E525+F525+G525+H525+I525</f>
        <v>0</v>
      </c>
      <c r="E525" s="31">
        <v>0</v>
      </c>
      <c r="F525" s="29">
        <v>0</v>
      </c>
      <c r="G525" s="29">
        <v>0</v>
      </c>
      <c r="H525" s="29">
        <v>0</v>
      </c>
      <c r="I525" s="29">
        <v>0</v>
      </c>
      <c r="J525" s="11"/>
    </row>
    <row r="526" spans="1:11" ht="12.75" customHeight="1" x14ac:dyDescent="0.2">
      <c r="A526" s="583" t="s">
        <v>299</v>
      </c>
      <c r="B526" s="595" t="s">
        <v>300</v>
      </c>
      <c r="C526" s="9" t="s">
        <v>198</v>
      </c>
      <c r="D526" s="34">
        <f t="shared" ref="D526:I526" si="127">D527+D528+D529</f>
        <v>0.18099999999999999</v>
      </c>
      <c r="E526" s="34">
        <f t="shared" si="127"/>
        <v>0.18099999999999999</v>
      </c>
      <c r="F526" s="34">
        <f t="shared" si="127"/>
        <v>0</v>
      </c>
      <c r="G526" s="34">
        <f t="shared" si="127"/>
        <v>0</v>
      </c>
      <c r="H526" s="34">
        <f t="shared" si="127"/>
        <v>0</v>
      </c>
      <c r="I526" s="34">
        <f t="shared" si="127"/>
        <v>0</v>
      </c>
      <c r="J526" s="11"/>
    </row>
    <row r="527" spans="1:11" x14ac:dyDescent="0.2">
      <c r="A527" s="583"/>
      <c r="B527" s="595"/>
      <c r="C527" s="7">
        <v>2015</v>
      </c>
      <c r="D527" s="29">
        <f>E527+F527+G527+H527+I527</f>
        <v>0.18099999999999999</v>
      </c>
      <c r="E527" s="31">
        <f>181/1000</f>
        <v>0.18099999999999999</v>
      </c>
      <c r="F527" s="31">
        <v>0</v>
      </c>
      <c r="G527" s="31">
        <v>0</v>
      </c>
      <c r="H527" s="31">
        <v>0</v>
      </c>
      <c r="I527" s="31">
        <v>0</v>
      </c>
      <c r="J527" s="11"/>
    </row>
    <row r="528" spans="1:11" x14ac:dyDescent="0.2">
      <c r="A528" s="583"/>
      <c r="B528" s="595"/>
      <c r="C528" s="7">
        <v>2016</v>
      </c>
      <c r="D528" s="29">
        <f>E528+F528+G528+H528+I528</f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11"/>
    </row>
    <row r="529" spans="1:10" x14ac:dyDescent="0.2">
      <c r="A529" s="583"/>
      <c r="B529" s="595"/>
      <c r="C529" s="7">
        <v>2017</v>
      </c>
      <c r="D529" s="29">
        <f>E529+F529+G529+H529+I529</f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11"/>
    </row>
    <row r="530" spans="1:10" ht="12.75" customHeight="1" x14ac:dyDescent="0.2">
      <c r="A530" s="583" t="s">
        <v>299</v>
      </c>
      <c r="B530" s="586" t="s">
        <v>301</v>
      </c>
      <c r="C530" s="9" t="s">
        <v>198</v>
      </c>
      <c r="D530" s="34">
        <f t="shared" ref="D530:I530" si="128">D531+D532+D533</f>
        <v>64.427300000000002</v>
      </c>
      <c r="E530" s="34">
        <f>E531+E532+E533</f>
        <v>57.010100000000001</v>
      </c>
      <c r="F530" s="34">
        <f t="shared" si="128"/>
        <v>0</v>
      </c>
      <c r="G530" s="34">
        <f t="shared" si="128"/>
        <v>0</v>
      </c>
      <c r="H530" s="34">
        <f t="shared" si="128"/>
        <v>0</v>
      </c>
      <c r="I530" s="34">
        <f t="shared" si="128"/>
        <v>7.4172000000000002</v>
      </c>
      <c r="J530" s="11"/>
    </row>
    <row r="531" spans="1:10" x14ac:dyDescent="0.2">
      <c r="A531" s="583"/>
      <c r="B531" s="586"/>
      <c r="C531" s="7">
        <v>2015</v>
      </c>
      <c r="D531" s="29">
        <f>E531+F531+G531+H531+I531</f>
        <v>27.9801</v>
      </c>
      <c r="E531" s="29">
        <f>E535+E539+E543</f>
        <v>20.562899999999999</v>
      </c>
      <c r="F531" s="31">
        <v>0</v>
      </c>
      <c r="G531" s="31">
        <v>0</v>
      </c>
      <c r="H531" s="31">
        <v>0</v>
      </c>
      <c r="I531" s="29">
        <f>7417.2/1000</f>
        <v>7.4172000000000002</v>
      </c>
      <c r="J531" s="11"/>
    </row>
    <row r="532" spans="1:10" x14ac:dyDescent="0.2">
      <c r="A532" s="583"/>
      <c r="B532" s="586"/>
      <c r="C532" s="7">
        <v>2016</v>
      </c>
      <c r="D532" s="29">
        <f>E532+F532+G532+H532+I532</f>
        <v>18.869900000000001</v>
      </c>
      <c r="E532" s="29">
        <f>E536+E540+E544</f>
        <v>18.869900000000001</v>
      </c>
      <c r="F532" s="31">
        <v>0</v>
      </c>
      <c r="G532" s="31">
        <v>0</v>
      </c>
      <c r="H532" s="31">
        <v>0</v>
      </c>
      <c r="I532" s="29">
        <v>0</v>
      </c>
      <c r="J532" s="11"/>
    </row>
    <row r="533" spans="1:10" x14ac:dyDescent="0.2">
      <c r="A533" s="583"/>
      <c r="B533" s="586"/>
      <c r="C533" s="7">
        <v>2017</v>
      </c>
      <c r="D533" s="29">
        <f>E533+F533+G533+H533+I533</f>
        <v>17.577300000000001</v>
      </c>
      <c r="E533" s="29">
        <f>E537+E541+E545</f>
        <v>17.577300000000001</v>
      </c>
      <c r="F533" s="31">
        <v>0</v>
      </c>
      <c r="G533" s="31">
        <v>0</v>
      </c>
      <c r="H533" s="31">
        <v>0</v>
      </c>
      <c r="I533" s="31">
        <v>0</v>
      </c>
      <c r="J533" s="11"/>
    </row>
    <row r="534" spans="1:10" ht="12.75" customHeight="1" x14ac:dyDescent="0.2">
      <c r="A534" s="583" t="s">
        <v>302</v>
      </c>
      <c r="B534" s="586" t="s">
        <v>303</v>
      </c>
      <c r="C534" s="9" t="s">
        <v>304</v>
      </c>
      <c r="D534" s="34">
        <f t="shared" ref="D534:I534" si="129">D535+D536+D537</f>
        <v>52.233200000000004</v>
      </c>
      <c r="E534" s="34">
        <f t="shared" si="129"/>
        <v>52.233200000000004</v>
      </c>
      <c r="F534" s="34">
        <f t="shared" si="129"/>
        <v>0</v>
      </c>
      <c r="G534" s="34">
        <f t="shared" si="129"/>
        <v>0</v>
      </c>
      <c r="H534" s="34">
        <f t="shared" si="129"/>
        <v>0</v>
      </c>
      <c r="I534" s="34">
        <f t="shared" si="129"/>
        <v>0</v>
      </c>
      <c r="J534" s="11"/>
    </row>
    <row r="535" spans="1:10" x14ac:dyDescent="0.2">
      <c r="A535" s="583"/>
      <c r="B535" s="586"/>
      <c r="C535" s="7">
        <v>2015</v>
      </c>
      <c r="D535" s="29">
        <f>E535+F535+G535+H535+I535</f>
        <v>17.3841</v>
      </c>
      <c r="E535" s="29">
        <f>17384.1/1000</f>
        <v>17.3841</v>
      </c>
      <c r="F535" s="31">
        <v>0</v>
      </c>
      <c r="G535" s="31">
        <v>0</v>
      </c>
      <c r="H535" s="31">
        <v>0</v>
      </c>
      <c r="I535" s="31">
        <v>0</v>
      </c>
      <c r="J535" s="11"/>
    </row>
    <row r="536" spans="1:10" x14ac:dyDescent="0.2">
      <c r="A536" s="583"/>
      <c r="B536" s="586"/>
      <c r="C536" s="7">
        <v>2016</v>
      </c>
      <c r="D536" s="29">
        <f>E536+F536+G536+H536+I536</f>
        <v>17.418200000000002</v>
      </c>
      <c r="E536" s="29">
        <f>17418.2/1000</f>
        <v>17.418200000000002</v>
      </c>
      <c r="F536" s="31">
        <v>0</v>
      </c>
      <c r="G536" s="31">
        <v>0</v>
      </c>
      <c r="H536" s="31">
        <v>0</v>
      </c>
      <c r="I536" s="31">
        <v>0</v>
      </c>
      <c r="J536" s="11"/>
    </row>
    <row r="537" spans="1:10" x14ac:dyDescent="0.2">
      <c r="A537" s="583"/>
      <c r="B537" s="586"/>
      <c r="C537" s="7">
        <v>2017</v>
      </c>
      <c r="D537" s="29">
        <f>E537+F537+G537+H537+I537</f>
        <v>17.430900000000001</v>
      </c>
      <c r="E537" s="31">
        <f>17430.9/1000</f>
        <v>17.430900000000001</v>
      </c>
      <c r="F537" s="31">
        <v>0</v>
      </c>
      <c r="G537" s="31">
        <v>0</v>
      </c>
      <c r="H537" s="31">
        <v>0</v>
      </c>
      <c r="I537" s="31">
        <v>0</v>
      </c>
      <c r="J537" s="11"/>
    </row>
    <row r="538" spans="1:10" ht="12.75" customHeight="1" x14ac:dyDescent="0.2">
      <c r="A538" s="583" t="s">
        <v>305</v>
      </c>
      <c r="B538" s="586" t="s">
        <v>306</v>
      </c>
      <c r="C538" s="9" t="s">
        <v>304</v>
      </c>
      <c r="D538" s="34">
        <f t="shared" ref="D538:I538" si="130">D539+D540+D541</f>
        <v>7.4172000000000002</v>
      </c>
      <c r="E538" s="34">
        <f t="shared" si="130"/>
        <v>0</v>
      </c>
      <c r="F538" s="34">
        <f t="shared" si="130"/>
        <v>0</v>
      </c>
      <c r="G538" s="34">
        <f t="shared" si="130"/>
        <v>0</v>
      </c>
      <c r="H538" s="34">
        <f t="shared" si="130"/>
        <v>0</v>
      </c>
      <c r="I538" s="34">
        <f t="shared" si="130"/>
        <v>7.4172000000000002</v>
      </c>
      <c r="J538" s="11"/>
    </row>
    <row r="539" spans="1:10" x14ac:dyDescent="0.2">
      <c r="A539" s="583"/>
      <c r="B539" s="586"/>
      <c r="C539" s="7">
        <v>2015</v>
      </c>
      <c r="D539" s="29">
        <f>E539+F539+G539+H539+I539</f>
        <v>7.4172000000000002</v>
      </c>
      <c r="E539" s="29">
        <v>0</v>
      </c>
      <c r="F539" s="29">
        <v>0</v>
      </c>
      <c r="G539" s="29">
        <v>0</v>
      </c>
      <c r="H539" s="29">
        <v>0</v>
      </c>
      <c r="I539" s="29">
        <f>7417.2/1000</f>
        <v>7.4172000000000002</v>
      </c>
      <c r="J539" s="11"/>
    </row>
    <row r="540" spans="1:10" x14ac:dyDescent="0.2">
      <c r="A540" s="583"/>
      <c r="B540" s="586"/>
      <c r="C540" s="7">
        <v>2016</v>
      </c>
      <c r="D540" s="29">
        <f>E540+F540+G540+H540+I540</f>
        <v>0</v>
      </c>
      <c r="E540" s="29">
        <f t="shared" ref="E540:H541" si="131">F540+G540+H540+I540+J540</f>
        <v>0</v>
      </c>
      <c r="F540" s="29">
        <f t="shared" si="131"/>
        <v>0</v>
      </c>
      <c r="G540" s="29">
        <f t="shared" si="131"/>
        <v>0</v>
      </c>
      <c r="H540" s="29">
        <f t="shared" si="131"/>
        <v>0</v>
      </c>
      <c r="I540" s="29">
        <v>0</v>
      </c>
      <c r="J540" s="11"/>
    </row>
    <row r="541" spans="1:10" x14ac:dyDescent="0.2">
      <c r="A541" s="583"/>
      <c r="B541" s="586"/>
      <c r="C541" s="7">
        <v>2017</v>
      </c>
      <c r="D541" s="29">
        <f>E541+F541+G541+H541+I541</f>
        <v>0</v>
      </c>
      <c r="E541" s="29">
        <f t="shared" si="131"/>
        <v>0</v>
      </c>
      <c r="F541" s="29">
        <f t="shared" si="131"/>
        <v>0</v>
      </c>
      <c r="G541" s="29">
        <f t="shared" si="131"/>
        <v>0</v>
      </c>
      <c r="H541" s="29">
        <f t="shared" si="131"/>
        <v>0</v>
      </c>
      <c r="I541" s="31">
        <v>0</v>
      </c>
      <c r="J541" s="11"/>
    </row>
    <row r="542" spans="1:10" ht="12.75" customHeight="1" x14ac:dyDescent="0.2">
      <c r="A542" s="583" t="s">
        <v>307</v>
      </c>
      <c r="B542" s="586" t="s">
        <v>308</v>
      </c>
      <c r="C542" s="9" t="s">
        <v>304</v>
      </c>
      <c r="D542" s="34">
        <f t="shared" ref="D542:I542" si="132">D543+D544+D545</f>
        <v>4.7769000000000004</v>
      </c>
      <c r="E542" s="34">
        <f t="shared" si="132"/>
        <v>4.7769000000000004</v>
      </c>
      <c r="F542" s="34">
        <f t="shared" si="132"/>
        <v>0</v>
      </c>
      <c r="G542" s="34">
        <f t="shared" si="132"/>
        <v>0</v>
      </c>
      <c r="H542" s="34">
        <f t="shared" si="132"/>
        <v>0</v>
      </c>
      <c r="I542" s="34">
        <f t="shared" si="132"/>
        <v>0</v>
      </c>
      <c r="J542" s="11"/>
    </row>
    <row r="543" spans="1:10" x14ac:dyDescent="0.2">
      <c r="A543" s="583"/>
      <c r="B543" s="586"/>
      <c r="C543" s="7">
        <v>2015</v>
      </c>
      <c r="D543" s="29">
        <f>E543+F543+G543+H543+I543</f>
        <v>3.1788000000000003</v>
      </c>
      <c r="E543" s="29">
        <f>3178.8/1000</f>
        <v>3.1788000000000003</v>
      </c>
      <c r="F543" s="29">
        <f t="shared" ref="F543:I545" si="133">G543+H543+I543+J543+K543</f>
        <v>0</v>
      </c>
      <c r="G543" s="29">
        <f t="shared" si="133"/>
        <v>0</v>
      </c>
      <c r="H543" s="29">
        <f t="shared" si="133"/>
        <v>0</v>
      </c>
      <c r="I543" s="29">
        <f t="shared" si="133"/>
        <v>0</v>
      </c>
      <c r="J543" s="11"/>
    </row>
    <row r="544" spans="1:10" x14ac:dyDescent="0.2">
      <c r="A544" s="583"/>
      <c r="B544" s="586"/>
      <c r="C544" s="7">
        <v>2016</v>
      </c>
      <c r="D544" s="29">
        <f>E544+F544+G544+H544+I544</f>
        <v>1.4517</v>
      </c>
      <c r="E544" s="29">
        <f>1451.7/1000</f>
        <v>1.4517</v>
      </c>
      <c r="F544" s="29">
        <f t="shared" si="133"/>
        <v>0</v>
      </c>
      <c r="G544" s="29">
        <f t="shared" si="133"/>
        <v>0</v>
      </c>
      <c r="H544" s="29">
        <f t="shared" si="133"/>
        <v>0</v>
      </c>
      <c r="I544" s="29">
        <f t="shared" si="133"/>
        <v>0</v>
      </c>
      <c r="J544" s="11"/>
    </row>
    <row r="545" spans="1:13" x14ac:dyDescent="0.2">
      <c r="A545" s="583"/>
      <c r="B545" s="586"/>
      <c r="C545" s="7">
        <v>2017</v>
      </c>
      <c r="D545" s="29">
        <f>E545+F545+G545+H545+I545</f>
        <v>0.1464</v>
      </c>
      <c r="E545" s="31">
        <f>146.4/1000</f>
        <v>0.1464</v>
      </c>
      <c r="F545" s="29">
        <f t="shared" si="133"/>
        <v>0</v>
      </c>
      <c r="G545" s="29">
        <f t="shared" si="133"/>
        <v>0</v>
      </c>
      <c r="H545" s="29">
        <f t="shared" si="133"/>
        <v>0</v>
      </c>
      <c r="I545" s="29">
        <f t="shared" si="133"/>
        <v>0</v>
      </c>
      <c r="J545" s="11"/>
    </row>
    <row r="546" spans="1:13" ht="12.75" customHeight="1" x14ac:dyDescent="0.2">
      <c r="A546" s="583" t="s">
        <v>309</v>
      </c>
      <c r="B546" s="586" t="s">
        <v>310</v>
      </c>
      <c r="C546" s="9" t="s">
        <v>198</v>
      </c>
      <c r="D546" s="34">
        <f t="shared" ref="D546:I546" si="134">D547+D548+D549</f>
        <v>95.59</v>
      </c>
      <c r="E546" s="34">
        <f t="shared" si="134"/>
        <v>95.59</v>
      </c>
      <c r="F546" s="34">
        <f t="shared" si="134"/>
        <v>0</v>
      </c>
      <c r="G546" s="34">
        <f t="shared" si="134"/>
        <v>0</v>
      </c>
      <c r="H546" s="34">
        <f t="shared" si="134"/>
        <v>0</v>
      </c>
      <c r="I546" s="34">
        <f t="shared" si="134"/>
        <v>0</v>
      </c>
      <c r="J546" s="11"/>
    </row>
    <row r="547" spans="1:13" x14ac:dyDescent="0.2">
      <c r="A547" s="583"/>
      <c r="B547" s="586"/>
      <c r="C547" s="7">
        <v>2015</v>
      </c>
      <c r="D547" s="29">
        <f>E547+F547+G547+H547+I547</f>
        <v>29.265000000000001</v>
      </c>
      <c r="E547" s="29">
        <f>29265/1000</f>
        <v>29.265000000000001</v>
      </c>
      <c r="F547" s="29">
        <f t="shared" ref="F547:I549" si="135">G547+H547+I547+J547+K547</f>
        <v>0</v>
      </c>
      <c r="G547" s="29">
        <f t="shared" si="135"/>
        <v>0</v>
      </c>
      <c r="H547" s="29">
        <f t="shared" si="135"/>
        <v>0</v>
      </c>
      <c r="I547" s="29">
        <f t="shared" si="135"/>
        <v>0</v>
      </c>
      <c r="J547" s="11"/>
    </row>
    <row r="548" spans="1:13" x14ac:dyDescent="0.2">
      <c r="A548" s="583"/>
      <c r="B548" s="586"/>
      <c r="C548" s="7">
        <v>2016</v>
      </c>
      <c r="D548" s="29">
        <f>E548+F548+G548+H548+I548</f>
        <v>31.873999999999999</v>
      </c>
      <c r="E548" s="29">
        <f>31874/1000</f>
        <v>31.873999999999999</v>
      </c>
      <c r="F548" s="29">
        <f t="shared" si="135"/>
        <v>0</v>
      </c>
      <c r="G548" s="29">
        <f t="shared" si="135"/>
        <v>0</v>
      </c>
      <c r="H548" s="29">
        <f t="shared" si="135"/>
        <v>0</v>
      </c>
      <c r="I548" s="29">
        <f t="shared" si="135"/>
        <v>0</v>
      </c>
      <c r="J548" s="11"/>
    </row>
    <row r="549" spans="1:13" x14ac:dyDescent="0.2">
      <c r="A549" s="583"/>
      <c r="B549" s="586"/>
      <c r="C549" s="7">
        <v>2017</v>
      </c>
      <c r="D549" s="29">
        <f>E549+F549+G549+H549+I549</f>
        <v>34.451000000000001</v>
      </c>
      <c r="E549" s="29">
        <f>34451/1000</f>
        <v>34.451000000000001</v>
      </c>
      <c r="F549" s="29">
        <f t="shared" si="135"/>
        <v>0</v>
      </c>
      <c r="G549" s="29">
        <f t="shared" si="135"/>
        <v>0</v>
      </c>
      <c r="H549" s="29">
        <f t="shared" si="135"/>
        <v>0</v>
      </c>
      <c r="I549" s="29">
        <f t="shared" si="135"/>
        <v>0</v>
      </c>
      <c r="J549" s="11"/>
    </row>
    <row r="550" spans="1:13" ht="12.75" customHeight="1" x14ac:dyDescent="0.2">
      <c r="A550" s="583" t="s">
        <v>311</v>
      </c>
      <c r="B550" s="586" t="s">
        <v>312</v>
      </c>
      <c r="C550" s="9" t="s">
        <v>198</v>
      </c>
      <c r="D550" s="34">
        <f t="shared" ref="D550:I550" si="136">D551+D552+D553</f>
        <v>95.59</v>
      </c>
      <c r="E550" s="34">
        <f t="shared" si="136"/>
        <v>95.59</v>
      </c>
      <c r="F550" s="34">
        <f t="shared" si="136"/>
        <v>0</v>
      </c>
      <c r="G550" s="34">
        <f t="shared" si="136"/>
        <v>0</v>
      </c>
      <c r="H550" s="34">
        <f t="shared" si="136"/>
        <v>0</v>
      </c>
      <c r="I550" s="34">
        <f t="shared" si="136"/>
        <v>0</v>
      </c>
      <c r="J550" s="11"/>
    </row>
    <row r="551" spans="1:13" x14ac:dyDescent="0.2">
      <c r="A551" s="583"/>
      <c r="B551" s="586"/>
      <c r="C551" s="7">
        <v>2015</v>
      </c>
      <c r="D551" s="29">
        <f>E551+F551+G551+H551+I551</f>
        <v>29.265000000000001</v>
      </c>
      <c r="E551" s="29">
        <f>29265/1000</f>
        <v>29.265000000000001</v>
      </c>
      <c r="F551" s="29">
        <f t="shared" ref="F551:I553" si="137">G551+H551+I551+J551+K551</f>
        <v>0</v>
      </c>
      <c r="G551" s="29">
        <f t="shared" si="137"/>
        <v>0</v>
      </c>
      <c r="H551" s="29">
        <f t="shared" si="137"/>
        <v>0</v>
      </c>
      <c r="I551" s="29">
        <f t="shared" si="137"/>
        <v>0</v>
      </c>
      <c r="J551" s="11"/>
    </row>
    <row r="552" spans="1:13" x14ac:dyDescent="0.2">
      <c r="A552" s="583"/>
      <c r="B552" s="586"/>
      <c r="C552" s="7">
        <v>2016</v>
      </c>
      <c r="D552" s="29">
        <f>E552+F552+G552+H552+I552</f>
        <v>31.873999999999999</v>
      </c>
      <c r="E552" s="29">
        <f>31874/1000</f>
        <v>31.873999999999999</v>
      </c>
      <c r="F552" s="29">
        <f t="shared" si="137"/>
        <v>0</v>
      </c>
      <c r="G552" s="29">
        <f t="shared" si="137"/>
        <v>0</v>
      </c>
      <c r="H552" s="29">
        <f t="shared" si="137"/>
        <v>0</v>
      </c>
      <c r="I552" s="29">
        <f t="shared" si="137"/>
        <v>0</v>
      </c>
      <c r="J552" s="11"/>
    </row>
    <row r="553" spans="1:13" x14ac:dyDescent="0.2">
      <c r="A553" s="583"/>
      <c r="B553" s="586"/>
      <c r="C553" s="7">
        <v>2017</v>
      </c>
      <c r="D553" s="29">
        <f>E553+F553+G553+H553+I553</f>
        <v>34.451000000000001</v>
      </c>
      <c r="E553" s="29">
        <f>34451/1000</f>
        <v>34.451000000000001</v>
      </c>
      <c r="F553" s="29">
        <f t="shared" si="137"/>
        <v>0</v>
      </c>
      <c r="G553" s="29">
        <f t="shared" si="137"/>
        <v>0</v>
      </c>
      <c r="H553" s="29">
        <f t="shared" si="137"/>
        <v>0</v>
      </c>
      <c r="I553" s="29">
        <f t="shared" si="137"/>
        <v>0</v>
      </c>
      <c r="J553" s="11"/>
    </row>
    <row r="554" spans="1:13" s="12" customFormat="1" x14ac:dyDescent="0.2">
      <c r="A554" s="589" t="s">
        <v>313</v>
      </c>
      <c r="B554" s="592" t="s">
        <v>314</v>
      </c>
      <c r="C554" s="9" t="s">
        <v>198</v>
      </c>
      <c r="D554" s="34">
        <f t="shared" ref="D554:I557" si="138">D558</f>
        <v>206.1438579</v>
      </c>
      <c r="E554" s="34">
        <f t="shared" si="138"/>
        <v>186.90100000000001</v>
      </c>
      <c r="F554" s="34">
        <f t="shared" si="138"/>
        <v>4.02E-2</v>
      </c>
      <c r="G554" s="34">
        <f t="shared" si="138"/>
        <v>17.651699999999998</v>
      </c>
      <c r="H554" s="34">
        <f t="shared" si="138"/>
        <v>4.7047800000000001E-2</v>
      </c>
      <c r="I554" s="34">
        <f t="shared" si="138"/>
        <v>1.5039101000000001</v>
      </c>
      <c r="J554" s="11"/>
    </row>
    <row r="555" spans="1:13" s="12" customFormat="1" x14ac:dyDescent="0.2">
      <c r="A555" s="590"/>
      <c r="B555" s="592"/>
      <c r="C555" s="9">
        <v>2015</v>
      </c>
      <c r="D555" s="34">
        <f t="shared" si="138"/>
        <v>71.782357899999994</v>
      </c>
      <c r="E555" s="34">
        <f t="shared" si="138"/>
        <v>64.377499999999998</v>
      </c>
      <c r="F555" s="34">
        <f t="shared" si="138"/>
        <v>0</v>
      </c>
      <c r="G555" s="34">
        <f t="shared" si="138"/>
        <v>5.8838999999999997</v>
      </c>
      <c r="H555" s="34">
        <f t="shared" si="138"/>
        <v>1.7047799999999998E-2</v>
      </c>
      <c r="I555" s="34">
        <f t="shared" si="138"/>
        <v>1.5039101000000001</v>
      </c>
      <c r="J555" s="11"/>
    </row>
    <row r="556" spans="1:13" s="12" customFormat="1" x14ac:dyDescent="0.2">
      <c r="A556" s="590"/>
      <c r="B556" s="592"/>
      <c r="C556" s="9">
        <v>2016</v>
      </c>
      <c r="D556" s="34">
        <f t="shared" si="138"/>
        <v>70.136899999999997</v>
      </c>
      <c r="E556" s="34">
        <f t="shared" si="138"/>
        <v>64.197800000000001</v>
      </c>
      <c r="F556" s="34">
        <f t="shared" si="138"/>
        <v>4.02E-2</v>
      </c>
      <c r="G556" s="34">
        <f t="shared" si="138"/>
        <v>5.8838999999999997</v>
      </c>
      <c r="H556" s="34">
        <f t="shared" si="138"/>
        <v>1.4999999999999999E-2</v>
      </c>
      <c r="I556" s="34">
        <f t="shared" si="138"/>
        <v>0</v>
      </c>
      <c r="J556" s="11"/>
      <c r="K556" s="35"/>
      <c r="L556" s="35"/>
    </row>
    <row r="557" spans="1:13" s="12" customFormat="1" ht="12.75" customHeight="1" x14ac:dyDescent="0.2">
      <c r="A557" s="591"/>
      <c r="B557" s="592"/>
      <c r="C557" s="9">
        <v>2017</v>
      </c>
      <c r="D557" s="34">
        <f t="shared" si="138"/>
        <v>64.224599999999995</v>
      </c>
      <c r="E557" s="34">
        <f t="shared" si="138"/>
        <v>58.325699999999998</v>
      </c>
      <c r="F557" s="34">
        <f t="shared" si="138"/>
        <v>0</v>
      </c>
      <c r="G557" s="34">
        <f t="shared" si="138"/>
        <v>5.8838999999999997</v>
      </c>
      <c r="H557" s="34">
        <f t="shared" si="138"/>
        <v>1.4999999999999999E-2</v>
      </c>
      <c r="I557" s="34">
        <f t="shared" si="138"/>
        <v>0</v>
      </c>
      <c r="J557" s="11"/>
      <c r="K557" s="35"/>
      <c r="L557" s="35"/>
    </row>
    <row r="558" spans="1:13" ht="12.75" customHeight="1" x14ac:dyDescent="0.2">
      <c r="A558" s="583" t="s">
        <v>315</v>
      </c>
      <c r="B558" s="588" t="s">
        <v>316</v>
      </c>
      <c r="C558" s="9" t="s">
        <v>198</v>
      </c>
      <c r="D558" s="36">
        <f t="shared" ref="D558:I561" si="139">D562+D622</f>
        <v>206.1438579</v>
      </c>
      <c r="E558" s="36">
        <f t="shared" si="139"/>
        <v>186.90100000000001</v>
      </c>
      <c r="F558" s="36">
        <f t="shared" si="139"/>
        <v>4.02E-2</v>
      </c>
      <c r="G558" s="36">
        <f t="shared" si="139"/>
        <v>17.651699999999998</v>
      </c>
      <c r="H558" s="36">
        <f t="shared" si="139"/>
        <v>4.7047800000000001E-2</v>
      </c>
      <c r="I558" s="36">
        <f t="shared" si="139"/>
        <v>1.5039101000000001</v>
      </c>
      <c r="J558" s="11"/>
      <c r="K558" s="19"/>
      <c r="L558" s="20"/>
    </row>
    <row r="559" spans="1:13" ht="12.75" customHeight="1" x14ac:dyDescent="0.2">
      <c r="A559" s="583"/>
      <c r="B559" s="588"/>
      <c r="C559" s="7">
        <v>2015</v>
      </c>
      <c r="D559" s="31">
        <f>D563+D623</f>
        <v>71.782357899999994</v>
      </c>
      <c r="E559" s="31">
        <f t="shared" si="139"/>
        <v>64.377499999999998</v>
      </c>
      <c r="F559" s="31">
        <f t="shared" si="139"/>
        <v>0</v>
      </c>
      <c r="G559" s="31">
        <f t="shared" si="139"/>
        <v>5.8838999999999997</v>
      </c>
      <c r="H559" s="31">
        <f t="shared" si="139"/>
        <v>1.7047799999999998E-2</v>
      </c>
      <c r="I559" s="31">
        <f t="shared" si="139"/>
        <v>1.5039101000000001</v>
      </c>
      <c r="J559" s="11"/>
      <c r="K559" s="20"/>
      <c r="L559" s="20"/>
    </row>
    <row r="560" spans="1:13" ht="12.75" customHeight="1" x14ac:dyDescent="0.2">
      <c r="A560" s="583"/>
      <c r="B560" s="588"/>
      <c r="C560" s="7">
        <v>2016</v>
      </c>
      <c r="D560" s="31">
        <f t="shared" si="139"/>
        <v>70.136899999999997</v>
      </c>
      <c r="E560" s="31">
        <f t="shared" si="139"/>
        <v>64.197800000000001</v>
      </c>
      <c r="F560" s="31">
        <f t="shared" si="139"/>
        <v>4.02E-2</v>
      </c>
      <c r="G560" s="31">
        <f t="shared" si="139"/>
        <v>5.8838999999999997</v>
      </c>
      <c r="H560" s="31">
        <f t="shared" si="139"/>
        <v>1.4999999999999999E-2</v>
      </c>
      <c r="I560" s="31">
        <f t="shared" si="139"/>
        <v>0</v>
      </c>
      <c r="J560" s="11"/>
      <c r="K560" s="20"/>
      <c r="L560" s="20"/>
      <c r="M560" s="20"/>
    </row>
    <row r="561" spans="1:13" ht="12.75" customHeight="1" x14ac:dyDescent="0.2">
      <c r="A561" s="583"/>
      <c r="B561" s="588"/>
      <c r="C561" s="7">
        <v>2017</v>
      </c>
      <c r="D561" s="31">
        <f t="shared" si="139"/>
        <v>64.224599999999995</v>
      </c>
      <c r="E561" s="31">
        <f t="shared" si="139"/>
        <v>58.325699999999998</v>
      </c>
      <c r="F561" s="31">
        <f t="shared" si="139"/>
        <v>0</v>
      </c>
      <c r="G561" s="31">
        <f t="shared" si="139"/>
        <v>5.8838999999999997</v>
      </c>
      <c r="H561" s="31">
        <f t="shared" si="139"/>
        <v>1.4999999999999999E-2</v>
      </c>
      <c r="I561" s="31">
        <f t="shared" si="139"/>
        <v>0</v>
      </c>
      <c r="J561" s="11"/>
      <c r="K561" s="20"/>
      <c r="L561" s="20"/>
      <c r="M561" s="20"/>
    </row>
    <row r="562" spans="1:13" ht="12.75" customHeight="1" x14ac:dyDescent="0.2">
      <c r="A562" s="583" t="s">
        <v>317</v>
      </c>
      <c r="B562" s="584" t="s">
        <v>318</v>
      </c>
      <c r="C562" s="9" t="s">
        <v>198</v>
      </c>
      <c r="D562" s="34">
        <f t="shared" ref="D562:I562" si="140">D563+D564+D565</f>
        <v>204.28121010000001</v>
      </c>
      <c r="E562" s="34">
        <f t="shared" si="140"/>
        <v>186.90100000000001</v>
      </c>
      <c r="F562" s="34">
        <f t="shared" si="140"/>
        <v>4.02E-2</v>
      </c>
      <c r="G562" s="34">
        <f t="shared" si="140"/>
        <v>15.836099999999998</v>
      </c>
      <c r="H562" s="34">
        <f t="shared" si="140"/>
        <v>0</v>
      </c>
      <c r="I562" s="34">
        <f t="shared" si="140"/>
        <v>1.5039101000000001</v>
      </c>
      <c r="J562" s="11"/>
      <c r="K562" s="19"/>
      <c r="L562" s="19"/>
      <c r="M562" s="20"/>
    </row>
    <row r="563" spans="1:13" ht="12.75" customHeight="1" x14ac:dyDescent="0.2">
      <c r="A563" s="583"/>
      <c r="B563" s="584"/>
      <c r="C563" s="7">
        <v>2015</v>
      </c>
      <c r="D563" s="29">
        <f>E563+F563+G563+H563+I563</f>
        <v>71.160110099999997</v>
      </c>
      <c r="E563" s="37">
        <f>64377500/1000000</f>
        <v>64.377499999999998</v>
      </c>
      <c r="F563" s="37">
        <v>0</v>
      </c>
      <c r="G563" s="37">
        <f>5278700/1000000</f>
        <v>5.2786999999999997</v>
      </c>
      <c r="H563" s="37">
        <v>0</v>
      </c>
      <c r="I563" s="37">
        <f>1503910.1/1000000</f>
        <v>1.5039101000000001</v>
      </c>
      <c r="J563" s="11"/>
      <c r="K563" s="20"/>
      <c r="L563" s="20"/>
      <c r="M563" s="20"/>
    </row>
    <row r="564" spans="1:13" ht="12.75" customHeight="1" x14ac:dyDescent="0.2">
      <c r="A564" s="583"/>
      <c r="B564" s="584"/>
      <c r="C564" s="7">
        <v>2016</v>
      </c>
      <c r="D564" s="29">
        <f>E564+F564+G564+H564+I564</f>
        <v>69.5167</v>
      </c>
      <c r="E564" s="37">
        <f>64197800/1000000</f>
        <v>64.197800000000001</v>
      </c>
      <c r="F564" s="37">
        <f>40200/1000000</f>
        <v>4.02E-2</v>
      </c>
      <c r="G564" s="37">
        <f>5278700/1000000</f>
        <v>5.2786999999999997</v>
      </c>
      <c r="H564" s="37">
        <v>0</v>
      </c>
      <c r="I564" s="37">
        <v>0</v>
      </c>
      <c r="J564" s="11"/>
      <c r="K564" s="20"/>
      <c r="L564" s="20"/>
      <c r="M564" s="20"/>
    </row>
    <row r="565" spans="1:13" ht="12.75" customHeight="1" x14ac:dyDescent="0.2">
      <c r="A565" s="583"/>
      <c r="B565" s="584"/>
      <c r="C565" s="7">
        <v>2017</v>
      </c>
      <c r="D565" s="29">
        <f>E565+F565+G565+H565+I565</f>
        <v>63.604399999999998</v>
      </c>
      <c r="E565" s="37">
        <f>58325700/1000000</f>
        <v>58.325699999999998</v>
      </c>
      <c r="F565" s="37">
        <v>0</v>
      </c>
      <c r="G565" s="37">
        <f>5278700/1000000</f>
        <v>5.2786999999999997</v>
      </c>
      <c r="H565" s="37">
        <v>0</v>
      </c>
      <c r="I565" s="37">
        <v>0</v>
      </c>
      <c r="J565" s="11"/>
      <c r="K565" s="20"/>
      <c r="L565" s="20"/>
      <c r="M565" s="20"/>
    </row>
    <row r="566" spans="1:13" ht="12.75" customHeight="1" x14ac:dyDescent="0.2">
      <c r="A566" s="583" t="s">
        <v>319</v>
      </c>
      <c r="B566" s="584" t="s">
        <v>320</v>
      </c>
      <c r="C566" s="9" t="s">
        <v>198</v>
      </c>
      <c r="D566" s="34">
        <f t="shared" ref="D566:I566" si="141">D567+D568+D569</f>
        <v>10.008042</v>
      </c>
      <c r="E566" s="34">
        <f t="shared" si="141"/>
        <v>10.008042</v>
      </c>
      <c r="F566" s="34">
        <f t="shared" si="141"/>
        <v>0</v>
      </c>
      <c r="G566" s="34">
        <f t="shared" si="141"/>
        <v>0</v>
      </c>
      <c r="H566" s="34">
        <f t="shared" si="141"/>
        <v>0</v>
      </c>
      <c r="I566" s="34">
        <f t="shared" si="141"/>
        <v>0</v>
      </c>
      <c r="J566" s="11"/>
      <c r="K566" s="20"/>
      <c r="L566" s="20"/>
      <c r="M566" s="20"/>
    </row>
    <row r="567" spans="1:13" ht="12.75" customHeight="1" x14ac:dyDescent="0.2">
      <c r="A567" s="583"/>
      <c r="B567" s="584"/>
      <c r="C567" s="7">
        <v>2015</v>
      </c>
      <c r="D567" s="29">
        <f>E567+F567+G567+H567+I567</f>
        <v>3.336014</v>
      </c>
      <c r="E567" s="37">
        <f>3336014/1000000</f>
        <v>3.336014</v>
      </c>
      <c r="F567" s="37">
        <v>0</v>
      </c>
      <c r="G567" s="37">
        <v>0</v>
      </c>
      <c r="H567" s="37">
        <v>0</v>
      </c>
      <c r="I567" s="37">
        <v>0</v>
      </c>
      <c r="J567" s="11"/>
      <c r="K567" s="20"/>
      <c r="L567" s="20"/>
      <c r="M567" s="20"/>
    </row>
    <row r="568" spans="1:13" ht="12.75" customHeight="1" x14ac:dyDescent="0.2">
      <c r="A568" s="583"/>
      <c r="B568" s="584"/>
      <c r="C568" s="7">
        <v>2016</v>
      </c>
      <c r="D568" s="29">
        <f>E568+F568+G568+H568+I568</f>
        <v>3.336014</v>
      </c>
      <c r="E568" s="37">
        <f>3336014/1000000</f>
        <v>3.336014</v>
      </c>
      <c r="F568" s="37">
        <v>0</v>
      </c>
      <c r="G568" s="37">
        <v>0</v>
      </c>
      <c r="H568" s="37">
        <v>0</v>
      </c>
      <c r="I568" s="37">
        <v>0</v>
      </c>
      <c r="J568" s="11"/>
      <c r="K568" s="20"/>
      <c r="L568" s="20"/>
      <c r="M568" s="20"/>
    </row>
    <row r="569" spans="1:13" ht="12.75" customHeight="1" x14ac:dyDescent="0.2">
      <c r="A569" s="583"/>
      <c r="B569" s="584"/>
      <c r="C569" s="7">
        <v>2017</v>
      </c>
      <c r="D569" s="29">
        <f>E569+F569+G569+H569+I569</f>
        <v>3.336014</v>
      </c>
      <c r="E569" s="37">
        <f>3336014/1000000</f>
        <v>3.336014</v>
      </c>
      <c r="F569" s="37">
        <v>0</v>
      </c>
      <c r="G569" s="37">
        <v>0</v>
      </c>
      <c r="H569" s="37">
        <v>0</v>
      </c>
      <c r="I569" s="37">
        <v>0</v>
      </c>
      <c r="J569" s="11"/>
      <c r="K569" s="20"/>
      <c r="L569" s="20"/>
      <c r="M569" s="20"/>
    </row>
    <row r="570" spans="1:13" ht="12.75" customHeight="1" x14ac:dyDescent="0.2">
      <c r="A570" s="583" t="s">
        <v>321</v>
      </c>
      <c r="B570" s="584" t="s">
        <v>322</v>
      </c>
      <c r="C570" s="9" t="s">
        <v>198</v>
      </c>
      <c r="D570" s="34">
        <f t="shared" ref="D570:I570" si="142">D571+D572+D573</f>
        <v>155.23955799999999</v>
      </c>
      <c r="E570" s="34">
        <f t="shared" si="142"/>
        <v>155.23955799999999</v>
      </c>
      <c r="F570" s="34">
        <f t="shared" si="142"/>
        <v>0</v>
      </c>
      <c r="G570" s="34">
        <f t="shared" si="142"/>
        <v>0</v>
      </c>
      <c r="H570" s="34">
        <f t="shared" si="142"/>
        <v>0</v>
      </c>
      <c r="I570" s="34">
        <f t="shared" si="142"/>
        <v>0</v>
      </c>
      <c r="J570" s="11"/>
      <c r="K570" s="20"/>
      <c r="L570" s="20"/>
      <c r="M570" s="20"/>
    </row>
    <row r="571" spans="1:13" ht="12.75" customHeight="1" x14ac:dyDescent="0.2">
      <c r="A571" s="583"/>
      <c r="B571" s="584"/>
      <c r="C571" s="7">
        <v>2015</v>
      </c>
      <c r="D571" s="29">
        <f>E571+F571+G571+H571+I571</f>
        <v>51.950685999999997</v>
      </c>
      <c r="E571" s="37">
        <f>51950686/1000000</f>
        <v>51.950685999999997</v>
      </c>
      <c r="F571" s="37">
        <v>0</v>
      </c>
      <c r="G571" s="37">
        <v>0</v>
      </c>
      <c r="H571" s="37">
        <v>0</v>
      </c>
      <c r="I571" s="37">
        <v>0</v>
      </c>
      <c r="J571" s="11"/>
      <c r="K571" s="20"/>
      <c r="L571" s="20"/>
      <c r="M571" s="20"/>
    </row>
    <row r="572" spans="1:13" ht="12.75" customHeight="1" x14ac:dyDescent="0.2">
      <c r="A572" s="583"/>
      <c r="B572" s="584"/>
      <c r="C572" s="7">
        <v>2016</v>
      </c>
      <c r="D572" s="29">
        <f>E572+F572+G572+H572+I572</f>
        <v>51.460585999999999</v>
      </c>
      <c r="E572" s="37">
        <f>51460586/1000000</f>
        <v>51.460585999999999</v>
      </c>
      <c r="F572" s="37">
        <v>0</v>
      </c>
      <c r="G572" s="37">
        <v>0</v>
      </c>
      <c r="H572" s="37">
        <v>0</v>
      </c>
      <c r="I572" s="37">
        <v>0</v>
      </c>
      <c r="J572" s="11"/>
      <c r="K572" s="20"/>
      <c r="L572" s="20"/>
      <c r="M572" s="20"/>
    </row>
    <row r="573" spans="1:13" ht="12.75" customHeight="1" x14ac:dyDescent="0.2">
      <c r="A573" s="583"/>
      <c r="B573" s="584"/>
      <c r="C573" s="7">
        <v>2017</v>
      </c>
      <c r="D573" s="29">
        <f>E573+F573+G573+H573+I573</f>
        <v>51.828285999999999</v>
      </c>
      <c r="E573" s="37">
        <f>51828286/1000000</f>
        <v>51.828285999999999</v>
      </c>
      <c r="F573" s="37">
        <v>0</v>
      </c>
      <c r="G573" s="37">
        <v>0</v>
      </c>
      <c r="H573" s="37">
        <v>0</v>
      </c>
      <c r="I573" s="37">
        <v>0</v>
      </c>
      <c r="J573" s="11"/>
      <c r="K573" s="20"/>
      <c r="L573" s="20"/>
      <c r="M573" s="20"/>
    </row>
    <row r="574" spans="1:13" ht="12.75" customHeight="1" x14ac:dyDescent="0.2">
      <c r="A574" s="583" t="s">
        <v>323</v>
      </c>
      <c r="B574" s="584" t="s">
        <v>324</v>
      </c>
      <c r="C574" s="9" t="s">
        <v>198</v>
      </c>
      <c r="D574" s="34">
        <f t="shared" ref="D574:I574" si="143">D575+D576+D577</f>
        <v>6.2712000000000003</v>
      </c>
      <c r="E574" s="34">
        <f t="shared" si="143"/>
        <v>6.2712000000000003</v>
      </c>
      <c r="F574" s="34">
        <f t="shared" si="143"/>
        <v>0</v>
      </c>
      <c r="G574" s="34">
        <f t="shared" si="143"/>
        <v>0</v>
      </c>
      <c r="H574" s="34">
        <f t="shared" si="143"/>
        <v>0</v>
      </c>
      <c r="I574" s="34">
        <f t="shared" si="143"/>
        <v>0</v>
      </c>
      <c r="J574" s="11"/>
      <c r="K574" s="20"/>
      <c r="L574" s="20"/>
      <c r="M574" s="20"/>
    </row>
    <row r="575" spans="1:13" ht="12.75" customHeight="1" x14ac:dyDescent="0.2">
      <c r="A575" s="583"/>
      <c r="B575" s="584"/>
      <c r="C575" s="7">
        <v>2015</v>
      </c>
      <c r="D575" s="29">
        <f>E575+F575+G575+H575+I575</f>
        <v>0</v>
      </c>
      <c r="E575" s="37">
        <v>0</v>
      </c>
      <c r="F575" s="37">
        <v>0</v>
      </c>
      <c r="G575" s="37">
        <v>0</v>
      </c>
      <c r="H575" s="37">
        <v>0</v>
      </c>
      <c r="I575" s="37">
        <v>0</v>
      </c>
      <c r="J575" s="11"/>
      <c r="K575" s="20"/>
      <c r="L575" s="20"/>
      <c r="M575" s="20"/>
    </row>
    <row r="576" spans="1:13" ht="12.75" customHeight="1" x14ac:dyDescent="0.2">
      <c r="A576" s="583"/>
      <c r="B576" s="584"/>
      <c r="C576" s="7">
        <v>2016</v>
      </c>
      <c r="D576" s="29">
        <f>E576+F576+G576+H576+I576</f>
        <v>6.2712000000000003</v>
      </c>
      <c r="E576" s="37">
        <f>6271200/1000000</f>
        <v>6.2712000000000003</v>
      </c>
      <c r="F576" s="37">
        <v>0</v>
      </c>
      <c r="G576" s="37">
        <v>0</v>
      </c>
      <c r="H576" s="37">
        <v>0</v>
      </c>
      <c r="I576" s="37">
        <v>0</v>
      </c>
      <c r="J576" s="11"/>
      <c r="K576" s="20"/>
      <c r="L576" s="20"/>
      <c r="M576" s="20"/>
    </row>
    <row r="577" spans="1:13" ht="12.75" customHeight="1" x14ac:dyDescent="0.2">
      <c r="A577" s="583"/>
      <c r="B577" s="584"/>
      <c r="C577" s="7">
        <v>2017</v>
      </c>
      <c r="D577" s="29">
        <f>E577+F577+G577+H577+I577</f>
        <v>0</v>
      </c>
      <c r="E577" s="37">
        <v>0</v>
      </c>
      <c r="F577" s="37">
        <v>0</v>
      </c>
      <c r="G577" s="37">
        <v>0</v>
      </c>
      <c r="H577" s="37">
        <v>0</v>
      </c>
      <c r="I577" s="37">
        <v>0</v>
      </c>
      <c r="J577" s="11"/>
      <c r="K577" s="20"/>
      <c r="L577" s="20"/>
      <c r="M577" s="20"/>
    </row>
    <row r="578" spans="1:13" ht="12.75" customHeight="1" x14ac:dyDescent="0.2">
      <c r="A578" s="583" t="s">
        <v>325</v>
      </c>
      <c r="B578" s="584" t="s">
        <v>326</v>
      </c>
      <c r="C578" s="9" t="s">
        <v>198</v>
      </c>
      <c r="D578" s="34">
        <f t="shared" ref="D578:I578" si="144">D579+D580+D581</f>
        <v>6.0134999999999996</v>
      </c>
      <c r="E578" s="34">
        <f t="shared" si="144"/>
        <v>6.0134999999999996</v>
      </c>
      <c r="F578" s="34">
        <f t="shared" si="144"/>
        <v>0</v>
      </c>
      <c r="G578" s="34">
        <f t="shared" si="144"/>
        <v>0</v>
      </c>
      <c r="H578" s="34">
        <f t="shared" si="144"/>
        <v>0</v>
      </c>
      <c r="I578" s="34">
        <f t="shared" si="144"/>
        <v>0</v>
      </c>
      <c r="J578" s="11"/>
      <c r="K578" s="20"/>
      <c r="L578" s="20"/>
      <c r="M578" s="20"/>
    </row>
    <row r="579" spans="1:13" ht="12.75" customHeight="1" x14ac:dyDescent="0.2">
      <c r="A579" s="583"/>
      <c r="B579" s="584"/>
      <c r="C579" s="7">
        <v>2015</v>
      </c>
      <c r="D579" s="29">
        <f>E579+F579+G579+H579+I579</f>
        <v>6.0134999999999996</v>
      </c>
      <c r="E579" s="37">
        <f>6013500/1000000</f>
        <v>6.0134999999999996</v>
      </c>
      <c r="F579" s="37">
        <v>0</v>
      </c>
      <c r="G579" s="37">
        <v>0</v>
      </c>
      <c r="H579" s="37">
        <v>0</v>
      </c>
      <c r="I579" s="37">
        <v>0</v>
      </c>
      <c r="J579" s="11"/>
      <c r="K579" s="20"/>
      <c r="L579" s="20"/>
      <c r="M579" s="20"/>
    </row>
    <row r="580" spans="1:13" ht="12.75" customHeight="1" x14ac:dyDescent="0.2">
      <c r="A580" s="583"/>
      <c r="B580" s="584"/>
      <c r="C580" s="7">
        <v>2016</v>
      </c>
      <c r="D580" s="29">
        <f>E580+F580+G580+H580+I580</f>
        <v>0</v>
      </c>
      <c r="E580" s="37">
        <v>0</v>
      </c>
      <c r="F580" s="37">
        <v>0</v>
      </c>
      <c r="G580" s="37">
        <v>0</v>
      </c>
      <c r="H580" s="37">
        <v>0</v>
      </c>
      <c r="I580" s="37">
        <v>0</v>
      </c>
      <c r="J580" s="11"/>
      <c r="K580" s="20"/>
      <c r="L580" s="20"/>
      <c r="M580" s="20"/>
    </row>
    <row r="581" spans="1:13" ht="12.75" customHeight="1" x14ac:dyDescent="0.2">
      <c r="A581" s="583"/>
      <c r="B581" s="584"/>
      <c r="C581" s="7">
        <v>2017</v>
      </c>
      <c r="D581" s="29">
        <f>E581+F581+G581+H581+I581</f>
        <v>0</v>
      </c>
      <c r="E581" s="37">
        <v>0</v>
      </c>
      <c r="F581" s="37">
        <v>0</v>
      </c>
      <c r="G581" s="37">
        <v>0</v>
      </c>
      <c r="H581" s="37">
        <v>0</v>
      </c>
      <c r="I581" s="37">
        <v>0</v>
      </c>
      <c r="J581" s="11"/>
      <c r="K581" s="20"/>
      <c r="L581" s="20"/>
      <c r="M581" s="20"/>
    </row>
    <row r="582" spans="1:13" ht="12.75" customHeight="1" x14ac:dyDescent="0.2">
      <c r="A582" s="583" t="s">
        <v>327</v>
      </c>
      <c r="B582" s="584" t="s">
        <v>328</v>
      </c>
      <c r="C582" s="9" t="s">
        <v>198</v>
      </c>
      <c r="D582" s="34">
        <f t="shared" ref="D582:I582" si="145">D583+D584+D585</f>
        <v>3</v>
      </c>
      <c r="E582" s="34">
        <f t="shared" si="145"/>
        <v>3</v>
      </c>
      <c r="F582" s="34">
        <f t="shared" si="145"/>
        <v>0</v>
      </c>
      <c r="G582" s="34">
        <f t="shared" si="145"/>
        <v>0</v>
      </c>
      <c r="H582" s="34">
        <f t="shared" si="145"/>
        <v>0</v>
      </c>
      <c r="I582" s="34">
        <f t="shared" si="145"/>
        <v>0</v>
      </c>
      <c r="J582" s="11"/>
      <c r="K582" s="20"/>
      <c r="L582" s="20"/>
      <c r="M582" s="20"/>
    </row>
    <row r="583" spans="1:13" ht="12.75" customHeight="1" x14ac:dyDescent="0.2">
      <c r="A583" s="583"/>
      <c r="B583" s="584"/>
      <c r="C583" s="7">
        <v>2015</v>
      </c>
      <c r="D583" s="29">
        <f>E583+F583+G583+H583+I583</f>
        <v>1</v>
      </c>
      <c r="E583" s="37">
        <f>1000000/1000000</f>
        <v>1</v>
      </c>
      <c r="F583" s="37">
        <v>0</v>
      </c>
      <c r="G583" s="37">
        <v>0</v>
      </c>
      <c r="H583" s="37">
        <v>0</v>
      </c>
      <c r="I583" s="37">
        <v>0</v>
      </c>
      <c r="J583" s="11"/>
      <c r="K583" s="20"/>
      <c r="L583" s="20"/>
      <c r="M583" s="20"/>
    </row>
    <row r="584" spans="1:13" ht="12.75" customHeight="1" x14ac:dyDescent="0.2">
      <c r="A584" s="583"/>
      <c r="B584" s="584"/>
      <c r="C584" s="7">
        <v>2016</v>
      </c>
      <c r="D584" s="29">
        <f>E584+F584+G584+H584+I584</f>
        <v>1</v>
      </c>
      <c r="E584" s="37">
        <f>1000000/1000000</f>
        <v>1</v>
      </c>
      <c r="F584" s="37">
        <v>0</v>
      </c>
      <c r="G584" s="37">
        <v>0</v>
      </c>
      <c r="H584" s="37">
        <v>0</v>
      </c>
      <c r="I584" s="37">
        <v>0</v>
      </c>
      <c r="J584" s="11"/>
      <c r="K584" s="20"/>
      <c r="L584" s="20"/>
      <c r="M584" s="20"/>
    </row>
    <row r="585" spans="1:13" ht="12.75" customHeight="1" x14ac:dyDescent="0.2">
      <c r="A585" s="583"/>
      <c r="B585" s="584"/>
      <c r="C585" s="7">
        <v>2017</v>
      </c>
      <c r="D585" s="29">
        <f>E585+F585+G585+H585+I585</f>
        <v>1</v>
      </c>
      <c r="E585" s="37">
        <f>1000000/1000000</f>
        <v>1</v>
      </c>
      <c r="F585" s="37">
        <v>0</v>
      </c>
      <c r="G585" s="37">
        <v>0</v>
      </c>
      <c r="H585" s="37">
        <v>0</v>
      </c>
      <c r="I585" s="37">
        <v>0</v>
      </c>
      <c r="J585" s="11"/>
      <c r="K585" s="20"/>
      <c r="L585" s="20"/>
      <c r="M585" s="20"/>
    </row>
    <row r="586" spans="1:13" ht="12.75" customHeight="1" x14ac:dyDescent="0.2">
      <c r="A586" s="583" t="s">
        <v>329</v>
      </c>
      <c r="B586" s="584" t="s">
        <v>330</v>
      </c>
      <c r="C586" s="9" t="s">
        <v>198</v>
      </c>
      <c r="D586" s="34">
        <f t="shared" ref="D586:I586" si="146">D587+D588+D589</f>
        <v>2.1851000000000003</v>
      </c>
      <c r="E586" s="34">
        <f t="shared" si="146"/>
        <v>2.1851000000000003</v>
      </c>
      <c r="F586" s="34">
        <f t="shared" si="146"/>
        <v>0</v>
      </c>
      <c r="G586" s="34">
        <f t="shared" si="146"/>
        <v>0</v>
      </c>
      <c r="H586" s="34">
        <f t="shared" si="146"/>
        <v>0</v>
      </c>
      <c r="I586" s="34">
        <f t="shared" si="146"/>
        <v>0</v>
      </c>
      <c r="J586" s="11"/>
      <c r="K586" s="20"/>
      <c r="L586" s="20"/>
      <c r="M586" s="20"/>
    </row>
    <row r="587" spans="1:13" ht="12.75" customHeight="1" x14ac:dyDescent="0.2">
      <c r="A587" s="583"/>
      <c r="B587" s="584"/>
      <c r="C587" s="7">
        <v>2015</v>
      </c>
      <c r="D587" s="29">
        <f>E587+F587+G587+H587+I587</f>
        <v>0.69610000000000005</v>
      </c>
      <c r="E587" s="37">
        <f>696100/1000000</f>
        <v>0.69610000000000005</v>
      </c>
      <c r="F587" s="37">
        <v>0</v>
      </c>
      <c r="G587" s="37">
        <v>0</v>
      </c>
      <c r="H587" s="37">
        <v>0</v>
      </c>
      <c r="I587" s="37">
        <v>0</v>
      </c>
      <c r="J587" s="11"/>
      <c r="K587" s="20"/>
      <c r="L587" s="20"/>
      <c r="M587" s="20"/>
    </row>
    <row r="588" spans="1:13" ht="12.75" customHeight="1" x14ac:dyDescent="0.2">
      <c r="A588" s="583"/>
      <c r="B588" s="584"/>
      <c r="C588" s="7">
        <v>2016</v>
      </c>
      <c r="D588" s="29">
        <f>E588+F588+G588+H588+I588</f>
        <v>0.7288</v>
      </c>
      <c r="E588" s="37">
        <f>728800/1000000</f>
        <v>0.7288</v>
      </c>
      <c r="F588" s="37">
        <v>0</v>
      </c>
      <c r="G588" s="37">
        <v>0</v>
      </c>
      <c r="H588" s="37">
        <v>0</v>
      </c>
      <c r="I588" s="37">
        <v>0</v>
      </c>
      <c r="J588" s="11"/>
      <c r="K588" s="20"/>
      <c r="L588" s="20"/>
      <c r="M588" s="20"/>
    </row>
    <row r="589" spans="1:13" ht="12.75" customHeight="1" x14ac:dyDescent="0.2">
      <c r="A589" s="583"/>
      <c r="B589" s="584"/>
      <c r="C589" s="7">
        <v>2017</v>
      </c>
      <c r="D589" s="29">
        <f>E589+F589+G589+H589+I589</f>
        <v>0.76019999999999999</v>
      </c>
      <c r="E589" s="37">
        <f>760200/1000000</f>
        <v>0.76019999999999999</v>
      </c>
      <c r="F589" s="37">
        <v>0</v>
      </c>
      <c r="G589" s="37">
        <v>0</v>
      </c>
      <c r="H589" s="37">
        <v>0</v>
      </c>
      <c r="I589" s="37">
        <v>0</v>
      </c>
      <c r="J589" s="11"/>
      <c r="K589" s="20"/>
      <c r="L589" s="20"/>
      <c r="M589" s="20"/>
    </row>
    <row r="590" spans="1:13" ht="12.75" customHeight="1" x14ac:dyDescent="0.2">
      <c r="A590" s="583" t="s">
        <v>331</v>
      </c>
      <c r="B590" s="584" t="s">
        <v>332</v>
      </c>
      <c r="C590" s="9" t="s">
        <v>198</v>
      </c>
      <c r="D590" s="34">
        <f t="shared" ref="D590:I590" si="147">D591+D592+D593</f>
        <v>4.02E-2</v>
      </c>
      <c r="E590" s="34">
        <f t="shared" si="147"/>
        <v>0</v>
      </c>
      <c r="F590" s="34">
        <f t="shared" si="147"/>
        <v>4.02E-2</v>
      </c>
      <c r="G590" s="34">
        <f t="shared" si="147"/>
        <v>0</v>
      </c>
      <c r="H590" s="34">
        <f t="shared" si="147"/>
        <v>0</v>
      </c>
      <c r="I590" s="34">
        <f t="shared" si="147"/>
        <v>0</v>
      </c>
      <c r="J590" s="11"/>
      <c r="K590" s="20"/>
      <c r="L590" s="20"/>
      <c r="M590" s="20"/>
    </row>
    <row r="591" spans="1:13" ht="12.75" customHeight="1" x14ac:dyDescent="0.2">
      <c r="A591" s="583"/>
      <c r="B591" s="584"/>
      <c r="C591" s="7">
        <v>2015</v>
      </c>
      <c r="D591" s="29">
        <f>E591+F591+G591+H591+I591</f>
        <v>0</v>
      </c>
      <c r="E591" s="37">
        <v>0</v>
      </c>
      <c r="F591" s="37">
        <v>0</v>
      </c>
      <c r="G591" s="37">
        <v>0</v>
      </c>
      <c r="H591" s="37">
        <v>0</v>
      </c>
      <c r="I591" s="37">
        <v>0</v>
      </c>
      <c r="J591" s="11"/>
      <c r="K591" s="20"/>
      <c r="L591" s="20"/>
      <c r="M591" s="20"/>
    </row>
    <row r="592" spans="1:13" ht="12.75" customHeight="1" x14ac:dyDescent="0.2">
      <c r="A592" s="583"/>
      <c r="B592" s="584"/>
      <c r="C592" s="7">
        <v>2016</v>
      </c>
      <c r="D592" s="29">
        <f>E592+F592+G592+H592+I592</f>
        <v>4.02E-2</v>
      </c>
      <c r="E592" s="37">
        <v>0</v>
      </c>
      <c r="F592" s="37">
        <f>40200/1000000</f>
        <v>4.02E-2</v>
      </c>
      <c r="G592" s="37">
        <v>0</v>
      </c>
      <c r="H592" s="37">
        <v>0</v>
      </c>
      <c r="I592" s="37">
        <v>0</v>
      </c>
      <c r="J592" s="11"/>
      <c r="K592" s="20"/>
      <c r="L592" s="20"/>
      <c r="M592" s="20"/>
    </row>
    <row r="593" spans="1:13" ht="12.75" customHeight="1" x14ac:dyDescent="0.2">
      <c r="A593" s="583"/>
      <c r="B593" s="584"/>
      <c r="C593" s="7">
        <v>2017</v>
      </c>
      <c r="D593" s="29">
        <f>E593+F593+G593+H593+I593</f>
        <v>0</v>
      </c>
      <c r="E593" s="37">
        <v>0</v>
      </c>
      <c r="F593" s="37">
        <v>0</v>
      </c>
      <c r="G593" s="37">
        <v>0</v>
      </c>
      <c r="H593" s="37">
        <v>0</v>
      </c>
      <c r="I593" s="37">
        <v>0</v>
      </c>
      <c r="J593" s="11"/>
      <c r="K593" s="20"/>
      <c r="L593" s="20"/>
      <c r="M593" s="20"/>
    </row>
    <row r="594" spans="1:13" ht="12.75" customHeight="1" x14ac:dyDescent="0.2">
      <c r="A594" s="583" t="s">
        <v>333</v>
      </c>
      <c r="B594" s="584" t="s">
        <v>334</v>
      </c>
      <c r="C594" s="9" t="s">
        <v>198</v>
      </c>
      <c r="D594" s="34">
        <f t="shared" ref="D594:I594" si="148">D595+D596+D597</f>
        <v>0.89799999999999991</v>
      </c>
      <c r="E594" s="34">
        <f t="shared" si="148"/>
        <v>0.89799999999999991</v>
      </c>
      <c r="F594" s="34">
        <f t="shared" si="148"/>
        <v>0</v>
      </c>
      <c r="G594" s="34">
        <f t="shared" si="148"/>
        <v>0</v>
      </c>
      <c r="H594" s="34">
        <f t="shared" si="148"/>
        <v>0</v>
      </c>
      <c r="I594" s="34">
        <f t="shared" si="148"/>
        <v>0</v>
      </c>
      <c r="J594" s="11"/>
      <c r="K594" s="20"/>
      <c r="L594" s="20"/>
      <c r="M594" s="20"/>
    </row>
    <row r="595" spans="1:13" ht="12.75" customHeight="1" x14ac:dyDescent="0.2">
      <c r="A595" s="583"/>
      <c r="B595" s="584"/>
      <c r="C595" s="7">
        <v>2015</v>
      </c>
      <c r="D595" s="29">
        <f>E595+F595+G595+H595+I595</f>
        <v>0.28599999999999998</v>
      </c>
      <c r="E595" s="37">
        <f>286000/1000000</f>
        <v>0.28599999999999998</v>
      </c>
      <c r="F595" s="37">
        <v>0</v>
      </c>
      <c r="G595" s="37">
        <v>0</v>
      </c>
      <c r="H595" s="37">
        <v>0</v>
      </c>
      <c r="I595" s="37">
        <v>0</v>
      </c>
      <c r="J595" s="11"/>
      <c r="K595" s="20"/>
      <c r="L595" s="20"/>
      <c r="M595" s="20"/>
    </row>
    <row r="596" spans="1:13" ht="12.75" customHeight="1" x14ac:dyDescent="0.2">
      <c r="A596" s="583"/>
      <c r="B596" s="584"/>
      <c r="C596" s="7">
        <v>2016</v>
      </c>
      <c r="D596" s="29">
        <f>E596+F596+G596+H596+I596</f>
        <v>0.30599999999999999</v>
      </c>
      <c r="E596" s="37">
        <f>306000/1000000</f>
        <v>0.30599999999999999</v>
      </c>
      <c r="F596" s="37">
        <v>0</v>
      </c>
      <c r="G596" s="37">
        <v>0</v>
      </c>
      <c r="H596" s="37">
        <v>0</v>
      </c>
      <c r="I596" s="37">
        <v>0</v>
      </c>
      <c r="J596" s="11"/>
      <c r="K596" s="20"/>
      <c r="L596" s="20"/>
      <c r="M596" s="20"/>
    </row>
    <row r="597" spans="1:13" ht="12.75" customHeight="1" x14ac:dyDescent="0.2">
      <c r="A597" s="583"/>
      <c r="B597" s="584"/>
      <c r="C597" s="7">
        <v>2017</v>
      </c>
      <c r="D597" s="29">
        <f>E597+F597+G597+H597+I597</f>
        <v>0.30599999999999999</v>
      </c>
      <c r="E597" s="37">
        <f>306000/1000000</f>
        <v>0.30599999999999999</v>
      </c>
      <c r="F597" s="37">
        <v>0</v>
      </c>
      <c r="G597" s="37">
        <v>0</v>
      </c>
      <c r="H597" s="37">
        <v>0</v>
      </c>
      <c r="I597" s="37">
        <v>0</v>
      </c>
      <c r="J597" s="11"/>
      <c r="K597" s="20"/>
      <c r="L597" s="20"/>
      <c r="M597" s="20"/>
    </row>
    <row r="598" spans="1:13" ht="12.75" customHeight="1" x14ac:dyDescent="0.2">
      <c r="A598" s="583" t="s">
        <v>335</v>
      </c>
      <c r="B598" s="584" t="s">
        <v>336</v>
      </c>
      <c r="C598" s="9" t="s">
        <v>198</v>
      </c>
      <c r="D598" s="34">
        <f t="shared" ref="D598:I598" si="149">D599+D600+D601</f>
        <v>3.2855999999999996</v>
      </c>
      <c r="E598" s="34">
        <f t="shared" si="149"/>
        <v>3.2855999999999996</v>
      </c>
      <c r="F598" s="34">
        <f t="shared" si="149"/>
        <v>0</v>
      </c>
      <c r="G598" s="34">
        <f t="shared" si="149"/>
        <v>0</v>
      </c>
      <c r="H598" s="34">
        <f t="shared" si="149"/>
        <v>0</v>
      </c>
      <c r="I598" s="34">
        <f t="shared" si="149"/>
        <v>0</v>
      </c>
      <c r="J598" s="11"/>
      <c r="K598" s="20"/>
      <c r="L598" s="20"/>
      <c r="M598" s="20"/>
    </row>
    <row r="599" spans="1:13" ht="12.75" customHeight="1" x14ac:dyDescent="0.2">
      <c r="A599" s="583"/>
      <c r="B599" s="584"/>
      <c r="C599" s="7">
        <v>2015</v>
      </c>
      <c r="D599" s="29">
        <f>E599+F599+G599+H599+I599</f>
        <v>1.0952</v>
      </c>
      <c r="E599" s="37">
        <f>1095200/1000000</f>
        <v>1.0952</v>
      </c>
      <c r="F599" s="37">
        <v>0</v>
      </c>
      <c r="G599" s="37">
        <v>0</v>
      </c>
      <c r="H599" s="37">
        <v>0</v>
      </c>
      <c r="I599" s="37">
        <v>0</v>
      </c>
      <c r="J599" s="11"/>
      <c r="K599" s="20"/>
      <c r="L599" s="20"/>
      <c r="M599" s="20"/>
    </row>
    <row r="600" spans="1:13" ht="12.75" customHeight="1" x14ac:dyDescent="0.2">
      <c r="A600" s="583"/>
      <c r="B600" s="584"/>
      <c r="C600" s="7">
        <v>2016</v>
      </c>
      <c r="D600" s="29">
        <f>E600+F600+G600+H600+I600</f>
        <v>1.0952</v>
      </c>
      <c r="E600" s="37">
        <f>1095200/1000000</f>
        <v>1.0952</v>
      </c>
      <c r="F600" s="37">
        <v>0</v>
      </c>
      <c r="G600" s="37">
        <v>0</v>
      </c>
      <c r="H600" s="37">
        <v>0</v>
      </c>
      <c r="I600" s="37">
        <v>0</v>
      </c>
      <c r="J600" s="11"/>
      <c r="K600" s="20"/>
      <c r="L600" s="20"/>
      <c r="M600" s="20"/>
    </row>
    <row r="601" spans="1:13" ht="12.75" customHeight="1" x14ac:dyDescent="0.2">
      <c r="A601" s="583"/>
      <c r="B601" s="584"/>
      <c r="C601" s="7">
        <v>2017</v>
      </c>
      <c r="D601" s="29">
        <f>E601+F601+G601+H601+I601</f>
        <v>1.0952</v>
      </c>
      <c r="E601" s="37">
        <f>1095200/1000000</f>
        <v>1.0952</v>
      </c>
      <c r="F601" s="37">
        <v>0</v>
      </c>
      <c r="G601" s="37">
        <v>0</v>
      </c>
      <c r="H601" s="37">
        <v>0</v>
      </c>
      <c r="I601" s="37">
        <v>0</v>
      </c>
      <c r="J601" s="11"/>
      <c r="K601" s="20"/>
      <c r="L601" s="20"/>
      <c r="M601" s="20"/>
    </row>
    <row r="602" spans="1:13" ht="12.75" customHeight="1" x14ac:dyDescent="0.2">
      <c r="A602" s="583" t="s">
        <v>337</v>
      </c>
      <c r="B602" s="584" t="s">
        <v>338</v>
      </c>
      <c r="C602" s="9" t="s">
        <v>198</v>
      </c>
      <c r="D602" s="34">
        <f t="shared" ref="D602:I602" si="150">D603+D604+D605</f>
        <v>2.8487999999999998</v>
      </c>
      <c r="E602" s="34">
        <f>E603+E604+E605</f>
        <v>0</v>
      </c>
      <c r="F602" s="34">
        <f t="shared" si="150"/>
        <v>0</v>
      </c>
      <c r="G602" s="34">
        <f>G603+G604+G605</f>
        <v>2.8487999999999998</v>
      </c>
      <c r="H602" s="34">
        <f t="shared" si="150"/>
        <v>0</v>
      </c>
      <c r="I602" s="34">
        <f t="shared" si="150"/>
        <v>0</v>
      </c>
      <c r="J602" s="11"/>
      <c r="K602" s="20"/>
      <c r="L602" s="20"/>
      <c r="M602" s="20"/>
    </row>
    <row r="603" spans="1:13" ht="12.75" customHeight="1" x14ac:dyDescent="0.2">
      <c r="A603" s="583"/>
      <c r="B603" s="584"/>
      <c r="C603" s="7">
        <v>2015</v>
      </c>
      <c r="D603" s="29">
        <f>E603+F603+G603+H603+I603</f>
        <v>0.9496</v>
      </c>
      <c r="E603" s="37">
        <v>0</v>
      </c>
      <c r="F603" s="37">
        <v>0</v>
      </c>
      <c r="G603" s="37">
        <f>949600/1000000</f>
        <v>0.9496</v>
      </c>
      <c r="H603" s="37">
        <v>0</v>
      </c>
      <c r="I603" s="37">
        <v>0</v>
      </c>
      <c r="J603" s="11"/>
      <c r="K603" s="20"/>
      <c r="L603" s="20"/>
      <c r="M603" s="20"/>
    </row>
    <row r="604" spans="1:13" ht="12.75" customHeight="1" x14ac:dyDescent="0.2">
      <c r="A604" s="583"/>
      <c r="B604" s="584"/>
      <c r="C604" s="7">
        <v>2016</v>
      </c>
      <c r="D604" s="29">
        <f>E604+F604+G604+H604+I604</f>
        <v>0.9496</v>
      </c>
      <c r="E604" s="37">
        <v>0</v>
      </c>
      <c r="F604" s="37">
        <v>0</v>
      </c>
      <c r="G604" s="37">
        <f>949600/1000000</f>
        <v>0.9496</v>
      </c>
      <c r="H604" s="37">
        <v>0</v>
      </c>
      <c r="I604" s="37">
        <v>0</v>
      </c>
      <c r="J604" s="11"/>
      <c r="K604" s="20"/>
      <c r="L604" s="20"/>
      <c r="M604" s="20"/>
    </row>
    <row r="605" spans="1:13" ht="12.75" customHeight="1" x14ac:dyDescent="0.2">
      <c r="A605" s="583"/>
      <c r="B605" s="584"/>
      <c r="C605" s="7">
        <v>2017</v>
      </c>
      <c r="D605" s="29">
        <f>E605+F605+G605+H605+I605</f>
        <v>0.9496</v>
      </c>
      <c r="E605" s="37">
        <v>0</v>
      </c>
      <c r="F605" s="37">
        <v>0</v>
      </c>
      <c r="G605" s="37">
        <f>949600/1000000</f>
        <v>0.9496</v>
      </c>
      <c r="H605" s="37">
        <v>0</v>
      </c>
      <c r="I605" s="37">
        <v>0</v>
      </c>
      <c r="J605" s="11"/>
      <c r="K605" s="20"/>
      <c r="L605" s="20"/>
      <c r="M605" s="20"/>
    </row>
    <row r="606" spans="1:13" ht="12.75" customHeight="1" x14ac:dyDescent="0.2">
      <c r="A606" s="583" t="s">
        <v>339</v>
      </c>
      <c r="B606" s="584" t="s">
        <v>340</v>
      </c>
      <c r="C606" s="9" t="s">
        <v>198</v>
      </c>
      <c r="D606" s="34">
        <f t="shared" ref="D606:I606" si="151">D607+D608+D609</f>
        <v>9.3539999999999992</v>
      </c>
      <c r="E606" s="34">
        <f t="shared" si="151"/>
        <v>0</v>
      </c>
      <c r="F606" s="34">
        <f t="shared" si="151"/>
        <v>0</v>
      </c>
      <c r="G606" s="34">
        <f t="shared" si="151"/>
        <v>9.3539999999999992</v>
      </c>
      <c r="H606" s="34">
        <f t="shared" si="151"/>
        <v>0</v>
      </c>
      <c r="I606" s="34">
        <f t="shared" si="151"/>
        <v>0</v>
      </c>
      <c r="J606" s="11"/>
      <c r="K606" s="20"/>
      <c r="L606" s="20"/>
      <c r="M606" s="20"/>
    </row>
    <row r="607" spans="1:13" ht="12.75" customHeight="1" x14ac:dyDescent="0.2">
      <c r="A607" s="583"/>
      <c r="B607" s="584"/>
      <c r="C607" s="7">
        <v>2015</v>
      </c>
      <c r="D607" s="29">
        <f>E607+F607+G607+H607+I607</f>
        <v>3.1179999999999999</v>
      </c>
      <c r="E607" s="37">
        <v>0</v>
      </c>
      <c r="F607" s="37">
        <v>0</v>
      </c>
      <c r="G607" s="37">
        <f>3118000/1000000</f>
        <v>3.1179999999999999</v>
      </c>
      <c r="H607" s="37">
        <v>0</v>
      </c>
      <c r="I607" s="37">
        <v>0</v>
      </c>
      <c r="J607" s="11"/>
      <c r="K607" s="20"/>
      <c r="L607" s="20"/>
      <c r="M607" s="20"/>
    </row>
    <row r="608" spans="1:13" ht="12.75" customHeight="1" x14ac:dyDescent="0.2">
      <c r="A608" s="583"/>
      <c r="B608" s="584"/>
      <c r="C608" s="7">
        <v>2016</v>
      </c>
      <c r="D608" s="29">
        <f>E608+F608+G608+H608+I608</f>
        <v>3.1179999999999999</v>
      </c>
      <c r="E608" s="37">
        <v>0</v>
      </c>
      <c r="F608" s="37">
        <v>0</v>
      </c>
      <c r="G608" s="37">
        <f>3118000/1000000</f>
        <v>3.1179999999999999</v>
      </c>
      <c r="H608" s="37">
        <v>0</v>
      </c>
      <c r="I608" s="37">
        <v>0</v>
      </c>
      <c r="J608" s="11"/>
      <c r="K608" s="20"/>
      <c r="L608" s="20"/>
      <c r="M608" s="20"/>
    </row>
    <row r="609" spans="1:13" ht="12.75" customHeight="1" x14ac:dyDescent="0.2">
      <c r="A609" s="583"/>
      <c r="B609" s="584"/>
      <c r="C609" s="7">
        <v>2017</v>
      </c>
      <c r="D609" s="29">
        <f>E609+F609+G609+H609+I609</f>
        <v>3.1179999999999999</v>
      </c>
      <c r="E609" s="37">
        <v>0</v>
      </c>
      <c r="F609" s="37">
        <v>0</v>
      </c>
      <c r="G609" s="37">
        <f>3118000/1000000</f>
        <v>3.1179999999999999</v>
      </c>
      <c r="H609" s="37">
        <v>0</v>
      </c>
      <c r="I609" s="37">
        <v>0</v>
      </c>
      <c r="J609" s="11"/>
      <c r="K609" s="20"/>
      <c r="L609" s="20"/>
      <c r="M609" s="20"/>
    </row>
    <row r="610" spans="1:13" ht="12.75" customHeight="1" x14ac:dyDescent="0.2">
      <c r="A610" s="583" t="s">
        <v>341</v>
      </c>
      <c r="B610" s="584" t="s">
        <v>342</v>
      </c>
      <c r="C610" s="9" t="s">
        <v>198</v>
      </c>
      <c r="D610" s="34">
        <f t="shared" ref="D610:I610" si="152">D611+D612+D613</f>
        <v>3.6311999999999998</v>
      </c>
      <c r="E610" s="34">
        <f t="shared" si="152"/>
        <v>0</v>
      </c>
      <c r="F610" s="34">
        <f t="shared" si="152"/>
        <v>0</v>
      </c>
      <c r="G610" s="34">
        <f t="shared" si="152"/>
        <v>3.6311999999999998</v>
      </c>
      <c r="H610" s="34">
        <f t="shared" si="152"/>
        <v>0</v>
      </c>
      <c r="I610" s="34">
        <f t="shared" si="152"/>
        <v>0</v>
      </c>
      <c r="J610" s="11"/>
      <c r="K610" s="20"/>
      <c r="L610" s="20"/>
      <c r="M610" s="20"/>
    </row>
    <row r="611" spans="1:13" ht="12.75" customHeight="1" x14ac:dyDescent="0.2">
      <c r="A611" s="583"/>
      <c r="B611" s="584"/>
      <c r="C611" s="7">
        <v>2015</v>
      </c>
      <c r="D611" s="29">
        <f>E611+F611+G611+H611+I611</f>
        <v>1.2103999999999999</v>
      </c>
      <c r="E611" s="37">
        <v>0</v>
      </c>
      <c r="F611" s="37">
        <v>0</v>
      </c>
      <c r="G611" s="37">
        <f>1210400/1000000</f>
        <v>1.2103999999999999</v>
      </c>
      <c r="H611" s="37">
        <v>0</v>
      </c>
      <c r="I611" s="37">
        <v>0</v>
      </c>
      <c r="J611" s="11"/>
      <c r="K611" s="20"/>
      <c r="L611" s="20"/>
      <c r="M611" s="20"/>
    </row>
    <row r="612" spans="1:13" ht="12.75" customHeight="1" x14ac:dyDescent="0.2">
      <c r="A612" s="583"/>
      <c r="B612" s="584"/>
      <c r="C612" s="7">
        <v>2016</v>
      </c>
      <c r="D612" s="29">
        <f>E612+F612+G612+H612+I612</f>
        <v>1.2103999999999999</v>
      </c>
      <c r="E612" s="37">
        <v>0</v>
      </c>
      <c r="F612" s="37">
        <v>0</v>
      </c>
      <c r="G612" s="37">
        <f>1210400/1000000</f>
        <v>1.2103999999999999</v>
      </c>
      <c r="H612" s="37">
        <v>0</v>
      </c>
      <c r="I612" s="37">
        <v>0</v>
      </c>
      <c r="J612" s="11"/>
      <c r="K612" s="20"/>
      <c r="L612" s="20"/>
      <c r="M612" s="20"/>
    </row>
    <row r="613" spans="1:13" ht="12.75" customHeight="1" x14ac:dyDescent="0.2">
      <c r="A613" s="583"/>
      <c r="B613" s="584"/>
      <c r="C613" s="7">
        <v>2017</v>
      </c>
      <c r="D613" s="29">
        <f>E613+F613+G613+H613+I613</f>
        <v>1.2103999999999999</v>
      </c>
      <c r="E613" s="37">
        <v>0</v>
      </c>
      <c r="F613" s="37">
        <v>0</v>
      </c>
      <c r="G613" s="37">
        <f>1210400/1000000</f>
        <v>1.2103999999999999</v>
      </c>
      <c r="H613" s="37">
        <v>0</v>
      </c>
      <c r="I613" s="37">
        <v>0</v>
      </c>
      <c r="J613" s="11"/>
      <c r="K613" s="20"/>
      <c r="L613" s="20"/>
      <c r="M613" s="20"/>
    </row>
    <row r="614" spans="1:13" ht="12.75" customHeight="1" x14ac:dyDescent="0.2">
      <c r="A614" s="583" t="s">
        <v>343</v>
      </c>
      <c r="B614" s="584" t="s">
        <v>344</v>
      </c>
      <c r="C614" s="9" t="s">
        <v>198</v>
      </c>
      <c r="D614" s="34">
        <f t="shared" ref="D614:I614" si="153">D615+D616+D617</f>
        <v>2.0999999999999999E-3</v>
      </c>
      <c r="E614" s="34">
        <f t="shared" si="153"/>
        <v>0</v>
      </c>
      <c r="F614" s="34">
        <f t="shared" si="153"/>
        <v>0</v>
      </c>
      <c r="G614" s="34">
        <f t="shared" si="153"/>
        <v>2.0999999999999999E-3</v>
      </c>
      <c r="H614" s="34">
        <f t="shared" si="153"/>
        <v>0</v>
      </c>
      <c r="I614" s="34">
        <f t="shared" si="153"/>
        <v>0</v>
      </c>
      <c r="J614" s="11"/>
      <c r="K614" s="20"/>
      <c r="L614" s="20"/>
      <c r="M614" s="20"/>
    </row>
    <row r="615" spans="1:13" ht="12.75" customHeight="1" x14ac:dyDescent="0.2">
      <c r="A615" s="583"/>
      <c r="B615" s="584"/>
      <c r="C615" s="7">
        <v>2015</v>
      </c>
      <c r="D615" s="29">
        <f>E615+F615+G615+H615+I615</f>
        <v>6.9999999999999999E-4</v>
      </c>
      <c r="E615" s="37">
        <v>0</v>
      </c>
      <c r="F615" s="37">
        <v>0</v>
      </c>
      <c r="G615" s="37">
        <f>700/1000000</f>
        <v>6.9999999999999999E-4</v>
      </c>
      <c r="H615" s="37">
        <v>0</v>
      </c>
      <c r="I615" s="37">
        <v>0</v>
      </c>
      <c r="J615" s="11"/>
      <c r="K615" s="20"/>
      <c r="L615" s="20"/>
      <c r="M615" s="20"/>
    </row>
    <row r="616" spans="1:13" ht="12.75" customHeight="1" x14ac:dyDescent="0.2">
      <c r="A616" s="583"/>
      <c r="B616" s="584"/>
      <c r="C616" s="7">
        <v>2016</v>
      </c>
      <c r="D616" s="29">
        <f>E616+F616+G616+H616+I616</f>
        <v>6.9999999999999999E-4</v>
      </c>
      <c r="E616" s="37">
        <v>0</v>
      </c>
      <c r="F616" s="37">
        <v>0</v>
      </c>
      <c r="G616" s="37">
        <f>700/1000000</f>
        <v>6.9999999999999999E-4</v>
      </c>
      <c r="H616" s="37">
        <v>0</v>
      </c>
      <c r="I616" s="37">
        <v>0</v>
      </c>
      <c r="J616" s="11"/>
      <c r="K616" s="20"/>
      <c r="L616" s="20"/>
      <c r="M616" s="20"/>
    </row>
    <row r="617" spans="1:13" ht="12.75" customHeight="1" x14ac:dyDescent="0.2">
      <c r="A617" s="583"/>
      <c r="B617" s="584"/>
      <c r="C617" s="7">
        <v>2017</v>
      </c>
      <c r="D617" s="29">
        <f>E617+F617+G617+H617+I617</f>
        <v>6.9999999999999999E-4</v>
      </c>
      <c r="E617" s="37">
        <v>0</v>
      </c>
      <c r="F617" s="37">
        <v>0</v>
      </c>
      <c r="G617" s="37">
        <f>700/1000000</f>
        <v>6.9999999999999999E-4</v>
      </c>
      <c r="H617" s="37">
        <v>0</v>
      </c>
      <c r="I617" s="37">
        <v>0</v>
      </c>
      <c r="J617" s="11"/>
      <c r="K617" s="20"/>
      <c r="L617" s="20"/>
      <c r="M617" s="20"/>
    </row>
    <row r="618" spans="1:13" ht="12.75" customHeight="1" x14ac:dyDescent="0.2">
      <c r="A618" s="583" t="s">
        <v>345</v>
      </c>
      <c r="B618" s="584" t="s">
        <v>346</v>
      </c>
      <c r="C618" s="9" t="s">
        <v>198</v>
      </c>
      <c r="D618" s="34">
        <f t="shared" ref="D618:I618" si="154">D619+D620+D621</f>
        <v>1.5039101000000001</v>
      </c>
      <c r="E618" s="34">
        <f t="shared" si="154"/>
        <v>0</v>
      </c>
      <c r="F618" s="34">
        <f t="shared" si="154"/>
        <v>0</v>
      </c>
      <c r="G618" s="34">
        <f t="shared" si="154"/>
        <v>0</v>
      </c>
      <c r="H618" s="34">
        <f t="shared" si="154"/>
        <v>0</v>
      </c>
      <c r="I618" s="34">
        <f t="shared" si="154"/>
        <v>1.5039101000000001</v>
      </c>
      <c r="J618" s="11"/>
      <c r="K618" s="20"/>
      <c r="L618" s="20"/>
      <c r="M618" s="20"/>
    </row>
    <row r="619" spans="1:13" ht="12.75" customHeight="1" x14ac:dyDescent="0.2">
      <c r="A619" s="583"/>
      <c r="B619" s="584"/>
      <c r="C619" s="7">
        <v>2015</v>
      </c>
      <c r="D619" s="29">
        <f>E619+F619+G619+H619+I619</f>
        <v>1.5039101000000001</v>
      </c>
      <c r="E619" s="37">
        <v>0</v>
      </c>
      <c r="F619" s="37">
        <v>0</v>
      </c>
      <c r="G619" s="37">
        <v>0</v>
      </c>
      <c r="H619" s="37">
        <v>0</v>
      </c>
      <c r="I619" s="37">
        <f>1503910.1/1000000</f>
        <v>1.5039101000000001</v>
      </c>
      <c r="J619" s="11"/>
      <c r="K619" s="20"/>
      <c r="L619" s="20"/>
      <c r="M619" s="20"/>
    </row>
    <row r="620" spans="1:13" ht="12.75" customHeight="1" x14ac:dyDescent="0.2">
      <c r="A620" s="583"/>
      <c r="B620" s="584"/>
      <c r="C620" s="7">
        <v>2016</v>
      </c>
      <c r="D620" s="29">
        <f>E620+F620+G620+H620+I620</f>
        <v>0</v>
      </c>
      <c r="E620" s="37">
        <v>0</v>
      </c>
      <c r="F620" s="37">
        <v>0</v>
      </c>
      <c r="G620" s="37">
        <v>0</v>
      </c>
      <c r="H620" s="37">
        <v>0</v>
      </c>
      <c r="I620" s="31">
        <f>I624+I628+I632+I636+I640+I644+I648+I652+I656</f>
        <v>0</v>
      </c>
      <c r="J620" s="11"/>
      <c r="K620" s="20"/>
      <c r="L620" s="20"/>
      <c r="M620" s="20"/>
    </row>
    <row r="621" spans="1:13" ht="12.75" customHeight="1" x14ac:dyDescent="0.2">
      <c r="A621" s="583"/>
      <c r="B621" s="584"/>
      <c r="C621" s="7">
        <v>2017</v>
      </c>
      <c r="D621" s="29">
        <f>E621+F621+G621+H621+I621</f>
        <v>0</v>
      </c>
      <c r="E621" s="37">
        <v>0</v>
      </c>
      <c r="F621" s="37">
        <v>0</v>
      </c>
      <c r="G621" s="37">
        <v>0</v>
      </c>
      <c r="H621" s="37">
        <v>0</v>
      </c>
      <c r="I621" s="31">
        <f>I625+I629+I633+I637+I641+I645+I649+I653+I657</f>
        <v>0</v>
      </c>
      <c r="J621" s="11"/>
      <c r="K621" s="20"/>
      <c r="L621" s="20"/>
      <c r="M621" s="20"/>
    </row>
    <row r="622" spans="1:13" ht="12.75" customHeight="1" x14ac:dyDescent="0.2">
      <c r="A622" s="583" t="s">
        <v>347</v>
      </c>
      <c r="B622" s="587" t="s">
        <v>348</v>
      </c>
      <c r="C622" s="9" t="s">
        <v>198</v>
      </c>
      <c r="D622" s="34">
        <f t="shared" ref="D622:I622" si="155">D623+D624+D625</f>
        <v>1.8626478000000002</v>
      </c>
      <c r="E622" s="34">
        <f t="shared" si="155"/>
        <v>0</v>
      </c>
      <c r="F622" s="34">
        <f t="shared" si="155"/>
        <v>0</v>
      </c>
      <c r="G622" s="34">
        <f t="shared" si="155"/>
        <v>1.8156000000000003</v>
      </c>
      <c r="H622" s="34">
        <f t="shared" si="155"/>
        <v>4.7047800000000001E-2</v>
      </c>
      <c r="I622" s="34">
        <f t="shared" si="155"/>
        <v>0</v>
      </c>
      <c r="J622" s="11"/>
    </row>
    <row r="623" spans="1:13" x14ac:dyDescent="0.2">
      <c r="A623" s="583"/>
      <c r="B623" s="587"/>
      <c r="C623" s="7">
        <v>2015</v>
      </c>
      <c r="D623" s="29">
        <f>E623+F623+G623+H623+I623</f>
        <v>0.62224780000000002</v>
      </c>
      <c r="E623" s="31">
        <f>E627+E631+E635+E639+E643+E647+E651+E655+E659</f>
        <v>0</v>
      </c>
      <c r="F623" s="31">
        <f>F627+F631+F635+F639+F643+F647+F651+F655+F659</f>
        <v>0</v>
      </c>
      <c r="G623" s="31">
        <f>G627+G631+G635+G639+G643+G647+G651+G655+G659</f>
        <v>0.60520000000000007</v>
      </c>
      <c r="H623" s="31">
        <f>H627+H631+H635+H639+H643+H647+H651+H655+H659</f>
        <v>1.7047799999999998E-2</v>
      </c>
      <c r="I623" s="31">
        <f>I627+I631+I635+I639+I643+I647+I651+I655+I659</f>
        <v>0</v>
      </c>
      <c r="J623" s="11"/>
    </row>
    <row r="624" spans="1:13" x14ac:dyDescent="0.2">
      <c r="A624" s="583"/>
      <c r="B624" s="587"/>
      <c r="C624" s="7">
        <v>2016</v>
      </c>
      <c r="D624" s="29">
        <f>E624+F624+G624+H624+I624</f>
        <v>0.62020000000000008</v>
      </c>
      <c r="E624" s="31">
        <f t="shared" ref="E624:I625" si="156">E628+E632+E636+E640+E644+E648+E652+E656+E660</f>
        <v>0</v>
      </c>
      <c r="F624" s="31">
        <f t="shared" si="156"/>
        <v>0</v>
      </c>
      <c r="G624" s="31">
        <f t="shared" si="156"/>
        <v>0.60520000000000007</v>
      </c>
      <c r="H624" s="31">
        <f t="shared" si="156"/>
        <v>1.4999999999999999E-2</v>
      </c>
      <c r="I624" s="31">
        <f t="shared" si="156"/>
        <v>0</v>
      </c>
      <c r="J624" s="11"/>
    </row>
    <row r="625" spans="1:12" x14ac:dyDescent="0.2">
      <c r="A625" s="583"/>
      <c r="B625" s="587"/>
      <c r="C625" s="7">
        <v>2017</v>
      </c>
      <c r="D625" s="29">
        <f>E625+F625+G625+H625+I625</f>
        <v>0.62020000000000008</v>
      </c>
      <c r="E625" s="31">
        <f t="shared" si="156"/>
        <v>0</v>
      </c>
      <c r="F625" s="31">
        <f t="shared" si="156"/>
        <v>0</v>
      </c>
      <c r="G625" s="31">
        <f t="shared" si="156"/>
        <v>0.60520000000000007</v>
      </c>
      <c r="H625" s="31">
        <f t="shared" si="156"/>
        <v>1.4999999999999999E-2</v>
      </c>
      <c r="I625" s="31">
        <f t="shared" si="156"/>
        <v>0</v>
      </c>
      <c r="J625" s="11"/>
    </row>
    <row r="626" spans="1:12" x14ac:dyDescent="0.2">
      <c r="A626" s="583" t="s">
        <v>349</v>
      </c>
      <c r="B626" s="585" t="s">
        <v>350</v>
      </c>
      <c r="C626" s="9" t="s">
        <v>198</v>
      </c>
      <c r="D626" s="34">
        <f t="shared" ref="D626:I626" si="157">D627+D628+D629</f>
        <v>1.7466000000000002</v>
      </c>
      <c r="E626" s="34">
        <f t="shared" si="157"/>
        <v>0</v>
      </c>
      <c r="F626" s="34">
        <f t="shared" si="157"/>
        <v>0</v>
      </c>
      <c r="G626" s="34">
        <f t="shared" si="157"/>
        <v>1.7466000000000002</v>
      </c>
      <c r="H626" s="34">
        <f t="shared" si="157"/>
        <v>0</v>
      </c>
      <c r="I626" s="34">
        <f t="shared" si="157"/>
        <v>0</v>
      </c>
      <c r="J626" s="11"/>
    </row>
    <row r="627" spans="1:12" x14ac:dyDescent="0.2">
      <c r="A627" s="583"/>
      <c r="B627" s="585"/>
      <c r="C627" s="7">
        <v>2015</v>
      </c>
      <c r="D627" s="29">
        <f>E627+F627+G627+H627+I627</f>
        <v>0.58220000000000005</v>
      </c>
      <c r="E627" s="37">
        <v>0</v>
      </c>
      <c r="F627" s="37">
        <v>0</v>
      </c>
      <c r="G627" s="37">
        <f>582200/1000000</f>
        <v>0.58220000000000005</v>
      </c>
      <c r="H627" s="37">
        <v>0</v>
      </c>
      <c r="I627" s="37">
        <v>0</v>
      </c>
      <c r="J627" s="11"/>
    </row>
    <row r="628" spans="1:12" x14ac:dyDescent="0.2">
      <c r="A628" s="583"/>
      <c r="B628" s="585"/>
      <c r="C628" s="7">
        <v>2016</v>
      </c>
      <c r="D628" s="29">
        <f>E628+F628+G628+H628+I628</f>
        <v>0.58220000000000005</v>
      </c>
      <c r="E628" s="37">
        <v>0</v>
      </c>
      <c r="F628" s="37">
        <v>0</v>
      </c>
      <c r="G628" s="37">
        <f>582200/1000000</f>
        <v>0.58220000000000005</v>
      </c>
      <c r="H628" s="37">
        <v>0</v>
      </c>
      <c r="I628" s="37">
        <v>0</v>
      </c>
      <c r="J628" s="11"/>
    </row>
    <row r="629" spans="1:12" x14ac:dyDescent="0.2">
      <c r="A629" s="583"/>
      <c r="B629" s="585"/>
      <c r="C629" s="7">
        <v>2017</v>
      </c>
      <c r="D629" s="29">
        <f>E629+F629+G629+H629+I629</f>
        <v>0.58220000000000005</v>
      </c>
      <c r="E629" s="37">
        <v>0</v>
      </c>
      <c r="F629" s="37">
        <v>0</v>
      </c>
      <c r="G629" s="37">
        <f>582200/1000000</f>
        <v>0.58220000000000005</v>
      </c>
      <c r="H629" s="37">
        <v>0</v>
      </c>
      <c r="I629" s="37">
        <v>0</v>
      </c>
      <c r="J629" s="11"/>
    </row>
    <row r="630" spans="1:12" x14ac:dyDescent="0.2">
      <c r="A630" s="583" t="s">
        <v>351</v>
      </c>
      <c r="B630" s="585" t="s">
        <v>352</v>
      </c>
      <c r="C630" s="9" t="s">
        <v>198</v>
      </c>
      <c r="D630" s="34">
        <f t="shared" ref="D630:I630" si="158">D631+D632+D633</f>
        <v>6.9000000000000006E-2</v>
      </c>
      <c r="E630" s="34">
        <f t="shared" si="158"/>
        <v>0</v>
      </c>
      <c r="F630" s="34">
        <f t="shared" si="158"/>
        <v>0</v>
      </c>
      <c r="G630" s="34">
        <f t="shared" si="158"/>
        <v>6.9000000000000006E-2</v>
      </c>
      <c r="H630" s="34">
        <f t="shared" si="158"/>
        <v>0</v>
      </c>
      <c r="I630" s="34">
        <f t="shared" si="158"/>
        <v>0</v>
      </c>
      <c r="J630" s="11"/>
    </row>
    <row r="631" spans="1:12" x14ac:dyDescent="0.2">
      <c r="A631" s="583"/>
      <c r="B631" s="585"/>
      <c r="C631" s="7">
        <v>2015</v>
      </c>
      <c r="D631" s="29">
        <f>E631+F631+G631+H631+I631</f>
        <v>2.3E-2</v>
      </c>
      <c r="E631" s="37">
        <v>0</v>
      </c>
      <c r="F631" s="37">
        <v>0</v>
      </c>
      <c r="G631" s="37">
        <f>23000/1000000</f>
        <v>2.3E-2</v>
      </c>
      <c r="H631" s="37">
        <v>0</v>
      </c>
      <c r="I631" s="37">
        <v>0</v>
      </c>
      <c r="J631" s="11"/>
    </row>
    <row r="632" spans="1:12" x14ac:dyDescent="0.2">
      <c r="A632" s="583"/>
      <c r="B632" s="585"/>
      <c r="C632" s="7">
        <v>2016</v>
      </c>
      <c r="D632" s="29">
        <f>E632+F632+G632+H632+I632</f>
        <v>2.3E-2</v>
      </c>
      <c r="E632" s="37">
        <v>0</v>
      </c>
      <c r="F632" s="37">
        <v>0</v>
      </c>
      <c r="G632" s="37">
        <f>23000/1000000</f>
        <v>2.3E-2</v>
      </c>
      <c r="H632" s="37">
        <v>0</v>
      </c>
      <c r="I632" s="37">
        <v>0</v>
      </c>
      <c r="J632" s="11"/>
    </row>
    <row r="633" spans="1:12" x14ac:dyDescent="0.2">
      <c r="A633" s="583"/>
      <c r="B633" s="585"/>
      <c r="C633" s="7">
        <v>2017</v>
      </c>
      <c r="D633" s="29">
        <f>E633+F633+G633+H633+I633</f>
        <v>2.3E-2</v>
      </c>
      <c r="E633" s="37">
        <v>0</v>
      </c>
      <c r="F633" s="37">
        <v>0</v>
      </c>
      <c r="G633" s="37">
        <f>23000/1000000</f>
        <v>2.3E-2</v>
      </c>
      <c r="H633" s="37">
        <v>0</v>
      </c>
      <c r="I633" s="37">
        <v>0</v>
      </c>
      <c r="J633" s="11"/>
    </row>
    <row r="634" spans="1:12" x14ac:dyDescent="0.2">
      <c r="A634" s="583" t="s">
        <v>353</v>
      </c>
      <c r="B634" s="585" t="s">
        <v>354</v>
      </c>
      <c r="C634" s="9" t="s">
        <v>198</v>
      </c>
      <c r="D634" s="34">
        <f t="shared" ref="D634:I634" si="159">D635+D636+D637</f>
        <v>0</v>
      </c>
      <c r="E634" s="34">
        <f t="shared" si="159"/>
        <v>0</v>
      </c>
      <c r="F634" s="34">
        <f t="shared" si="159"/>
        <v>0</v>
      </c>
      <c r="G634" s="34">
        <f t="shared" si="159"/>
        <v>0</v>
      </c>
      <c r="H634" s="34">
        <f t="shared" si="159"/>
        <v>0</v>
      </c>
      <c r="I634" s="34">
        <f t="shared" si="159"/>
        <v>0</v>
      </c>
      <c r="J634" s="11"/>
    </row>
    <row r="635" spans="1:12" ht="17.25" customHeight="1" x14ac:dyDescent="0.2">
      <c r="A635" s="583"/>
      <c r="B635" s="585"/>
      <c r="C635" s="7">
        <v>2015</v>
      </c>
      <c r="D635" s="29">
        <f>E635+F635+G635+H635+I635</f>
        <v>0</v>
      </c>
      <c r="E635" s="37">
        <v>0</v>
      </c>
      <c r="F635" s="37">
        <v>0</v>
      </c>
      <c r="G635" s="37">
        <v>0</v>
      </c>
      <c r="H635" s="37">
        <v>0</v>
      </c>
      <c r="I635" s="37">
        <v>0</v>
      </c>
      <c r="J635" s="11"/>
    </row>
    <row r="636" spans="1:12" x14ac:dyDescent="0.2">
      <c r="A636" s="583"/>
      <c r="B636" s="585"/>
      <c r="C636" s="7">
        <v>2016</v>
      </c>
      <c r="D636" s="29">
        <f>E636+F636+G636+H636+I636</f>
        <v>0</v>
      </c>
      <c r="E636" s="37">
        <v>0</v>
      </c>
      <c r="F636" s="37">
        <v>0</v>
      </c>
      <c r="G636" s="37">
        <v>0</v>
      </c>
      <c r="H636" s="37">
        <v>0</v>
      </c>
      <c r="I636" s="37">
        <v>0</v>
      </c>
      <c r="J636" s="11"/>
    </row>
    <row r="637" spans="1:12" x14ac:dyDescent="0.2">
      <c r="A637" s="583"/>
      <c r="B637" s="585"/>
      <c r="C637" s="7">
        <v>2017</v>
      </c>
      <c r="D637" s="29">
        <f>E637+F637+G637+H637+I637</f>
        <v>0</v>
      </c>
      <c r="E637" s="37">
        <v>0</v>
      </c>
      <c r="F637" s="37">
        <v>0</v>
      </c>
      <c r="G637" s="37">
        <v>0</v>
      </c>
      <c r="H637" s="37">
        <v>0</v>
      </c>
      <c r="I637" s="37">
        <v>0</v>
      </c>
      <c r="J637" s="11"/>
    </row>
    <row r="638" spans="1:12" x14ac:dyDescent="0.2">
      <c r="A638" s="583" t="s">
        <v>355</v>
      </c>
      <c r="B638" s="585" t="s">
        <v>356</v>
      </c>
      <c r="C638" s="9" t="s">
        <v>198</v>
      </c>
      <c r="D638" s="34">
        <f t="shared" ref="D638:I638" si="160">D639+D640+D641</f>
        <v>0</v>
      </c>
      <c r="E638" s="34">
        <f t="shared" si="160"/>
        <v>0</v>
      </c>
      <c r="F638" s="34">
        <f t="shared" si="160"/>
        <v>0</v>
      </c>
      <c r="G638" s="34">
        <f t="shared" si="160"/>
        <v>0</v>
      </c>
      <c r="H638" s="34">
        <f t="shared" si="160"/>
        <v>0</v>
      </c>
      <c r="I638" s="34">
        <f t="shared" si="160"/>
        <v>0</v>
      </c>
      <c r="J638" s="11"/>
      <c r="K638" s="38"/>
      <c r="L638" s="39"/>
    </row>
    <row r="639" spans="1:12" x14ac:dyDescent="0.2">
      <c r="A639" s="583"/>
      <c r="B639" s="585"/>
      <c r="C639" s="7">
        <v>2015</v>
      </c>
      <c r="D639" s="29">
        <f>E639+F639+G639+H639+I639</f>
        <v>0</v>
      </c>
      <c r="E639" s="37">
        <v>0</v>
      </c>
      <c r="F639" s="37">
        <v>0</v>
      </c>
      <c r="G639" s="37">
        <v>0</v>
      </c>
      <c r="H639" s="37">
        <v>0</v>
      </c>
      <c r="I639" s="37">
        <v>0</v>
      </c>
      <c r="J639" s="11"/>
    </row>
    <row r="640" spans="1:12" x14ac:dyDescent="0.2">
      <c r="A640" s="583"/>
      <c r="B640" s="585"/>
      <c r="C640" s="7">
        <v>2016</v>
      </c>
      <c r="D640" s="29">
        <f>E640+F640+G640+H640+I640</f>
        <v>0</v>
      </c>
      <c r="E640" s="37">
        <v>0</v>
      </c>
      <c r="F640" s="37">
        <v>0</v>
      </c>
      <c r="G640" s="37">
        <v>0</v>
      </c>
      <c r="H640" s="37">
        <v>0</v>
      </c>
      <c r="I640" s="37">
        <v>0</v>
      </c>
      <c r="J640" s="11"/>
    </row>
    <row r="641" spans="1:10" x14ac:dyDescent="0.2">
      <c r="A641" s="583"/>
      <c r="B641" s="585"/>
      <c r="C641" s="7">
        <v>2017</v>
      </c>
      <c r="D641" s="29">
        <f>E641+F641+G641+H641+I641</f>
        <v>0</v>
      </c>
      <c r="E641" s="37">
        <v>0</v>
      </c>
      <c r="F641" s="37">
        <v>0</v>
      </c>
      <c r="G641" s="37">
        <v>0</v>
      </c>
      <c r="H641" s="37">
        <v>0</v>
      </c>
      <c r="I641" s="37">
        <v>0</v>
      </c>
      <c r="J641" s="11"/>
    </row>
    <row r="642" spans="1:10" x14ac:dyDescent="0.2">
      <c r="A642" s="583" t="s">
        <v>357</v>
      </c>
      <c r="B642" s="585" t="s">
        <v>358</v>
      </c>
      <c r="C642" s="9" t="s">
        <v>198</v>
      </c>
      <c r="D642" s="34">
        <f t="shared" ref="D642:I642" si="161">D643+D644+D645</f>
        <v>0</v>
      </c>
      <c r="E642" s="34">
        <f t="shared" si="161"/>
        <v>0</v>
      </c>
      <c r="F642" s="34">
        <f t="shared" si="161"/>
        <v>0</v>
      </c>
      <c r="G642" s="34">
        <f t="shared" si="161"/>
        <v>0</v>
      </c>
      <c r="H642" s="34">
        <f t="shared" si="161"/>
        <v>0</v>
      </c>
      <c r="I642" s="34">
        <f t="shared" si="161"/>
        <v>0</v>
      </c>
      <c r="J642" s="11"/>
    </row>
    <row r="643" spans="1:10" x14ac:dyDescent="0.2">
      <c r="A643" s="583"/>
      <c r="B643" s="585"/>
      <c r="C643" s="7">
        <v>2015</v>
      </c>
      <c r="D643" s="29">
        <f>E643+F643+G643+H643+I643</f>
        <v>0</v>
      </c>
      <c r="E643" s="37">
        <v>0</v>
      </c>
      <c r="F643" s="37">
        <v>0</v>
      </c>
      <c r="G643" s="37">
        <v>0</v>
      </c>
      <c r="H643" s="37">
        <v>0</v>
      </c>
      <c r="I643" s="37">
        <v>0</v>
      </c>
      <c r="J643" s="11"/>
    </row>
    <row r="644" spans="1:10" x14ac:dyDescent="0.2">
      <c r="A644" s="583"/>
      <c r="B644" s="585"/>
      <c r="C644" s="7">
        <v>2016</v>
      </c>
      <c r="D644" s="29">
        <f>E644+F644+G644+H644+I644</f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11"/>
    </row>
    <row r="645" spans="1:10" x14ac:dyDescent="0.2">
      <c r="A645" s="583"/>
      <c r="B645" s="585"/>
      <c r="C645" s="7">
        <v>2017</v>
      </c>
      <c r="D645" s="29">
        <f>E645+F645+G645+H645+I645</f>
        <v>0</v>
      </c>
      <c r="E645" s="37">
        <v>0</v>
      </c>
      <c r="F645" s="37">
        <v>0</v>
      </c>
      <c r="G645" s="37">
        <v>0</v>
      </c>
      <c r="H645" s="37">
        <v>0</v>
      </c>
      <c r="I645" s="37">
        <v>0</v>
      </c>
      <c r="J645" s="11"/>
    </row>
    <row r="646" spans="1:10" ht="26.25" customHeight="1" x14ac:dyDescent="0.2">
      <c r="A646" s="583" t="s">
        <v>359</v>
      </c>
      <c r="B646" s="585" t="s">
        <v>360</v>
      </c>
      <c r="C646" s="9" t="s">
        <v>198</v>
      </c>
      <c r="D646" s="34">
        <f t="shared" ref="D646:I646" si="162">D647+D648+D649</f>
        <v>0</v>
      </c>
      <c r="E646" s="34">
        <f t="shared" si="162"/>
        <v>0</v>
      </c>
      <c r="F646" s="34">
        <f t="shared" si="162"/>
        <v>0</v>
      </c>
      <c r="G646" s="34">
        <f t="shared" si="162"/>
        <v>0</v>
      </c>
      <c r="H646" s="34">
        <f t="shared" si="162"/>
        <v>0</v>
      </c>
      <c r="I646" s="34">
        <f t="shared" si="162"/>
        <v>0</v>
      </c>
      <c r="J646" s="11"/>
    </row>
    <row r="647" spans="1:10" x14ac:dyDescent="0.2">
      <c r="A647" s="583"/>
      <c r="B647" s="585"/>
      <c r="C647" s="7">
        <v>2015</v>
      </c>
      <c r="D647" s="29">
        <f>E647+F647+G647+H647+I647</f>
        <v>0</v>
      </c>
      <c r="E647" s="37">
        <v>0</v>
      </c>
      <c r="F647" s="37">
        <v>0</v>
      </c>
      <c r="G647" s="37">
        <v>0</v>
      </c>
      <c r="H647" s="37">
        <v>0</v>
      </c>
      <c r="I647" s="37">
        <v>0</v>
      </c>
      <c r="J647" s="11"/>
    </row>
    <row r="648" spans="1:10" x14ac:dyDescent="0.2">
      <c r="A648" s="583"/>
      <c r="B648" s="585"/>
      <c r="C648" s="7">
        <v>2016</v>
      </c>
      <c r="D648" s="29">
        <f>E648+F648+G648+H648+I648</f>
        <v>0</v>
      </c>
      <c r="E648" s="37">
        <v>0</v>
      </c>
      <c r="F648" s="37">
        <v>0</v>
      </c>
      <c r="G648" s="37">
        <v>0</v>
      </c>
      <c r="H648" s="37">
        <v>0</v>
      </c>
      <c r="I648" s="37">
        <v>0</v>
      </c>
      <c r="J648" s="11"/>
    </row>
    <row r="649" spans="1:10" x14ac:dyDescent="0.2">
      <c r="A649" s="583"/>
      <c r="B649" s="585"/>
      <c r="C649" s="7">
        <v>2017</v>
      </c>
      <c r="D649" s="29">
        <f>E649+F649+G649+H649+I649</f>
        <v>0</v>
      </c>
      <c r="E649" s="37">
        <v>0</v>
      </c>
      <c r="F649" s="37">
        <v>0</v>
      </c>
      <c r="G649" s="37">
        <v>0</v>
      </c>
      <c r="H649" s="37">
        <v>0</v>
      </c>
      <c r="I649" s="37">
        <v>0</v>
      </c>
      <c r="J649" s="11"/>
    </row>
    <row r="650" spans="1:10" x14ac:dyDescent="0.2">
      <c r="A650" s="583" t="s">
        <v>361</v>
      </c>
      <c r="B650" s="585" t="s">
        <v>362</v>
      </c>
      <c r="C650" s="9" t="s">
        <v>198</v>
      </c>
      <c r="D650" s="34">
        <f t="shared" ref="D650:I650" si="163">D651+D652+D653</f>
        <v>0</v>
      </c>
      <c r="E650" s="34">
        <f t="shared" si="163"/>
        <v>0</v>
      </c>
      <c r="F650" s="34">
        <f t="shared" si="163"/>
        <v>0</v>
      </c>
      <c r="G650" s="34">
        <f t="shared" si="163"/>
        <v>0</v>
      </c>
      <c r="H650" s="34">
        <f t="shared" si="163"/>
        <v>0</v>
      </c>
      <c r="I650" s="34">
        <f t="shared" si="163"/>
        <v>0</v>
      </c>
      <c r="J650" s="11"/>
    </row>
    <row r="651" spans="1:10" x14ac:dyDescent="0.2">
      <c r="A651" s="583"/>
      <c r="B651" s="585"/>
      <c r="C651" s="7">
        <v>2015</v>
      </c>
      <c r="D651" s="29">
        <f>E651+F651+G651+H651+I651</f>
        <v>0</v>
      </c>
      <c r="E651" s="37">
        <v>0</v>
      </c>
      <c r="F651" s="37">
        <v>0</v>
      </c>
      <c r="G651" s="37">
        <v>0</v>
      </c>
      <c r="H651" s="37">
        <v>0</v>
      </c>
      <c r="I651" s="37">
        <v>0</v>
      </c>
      <c r="J651" s="11"/>
    </row>
    <row r="652" spans="1:10" x14ac:dyDescent="0.2">
      <c r="A652" s="583"/>
      <c r="B652" s="585"/>
      <c r="C652" s="7">
        <v>2016</v>
      </c>
      <c r="D652" s="29">
        <f>E652+F652+G652+H652+I652</f>
        <v>0</v>
      </c>
      <c r="E652" s="37">
        <v>0</v>
      </c>
      <c r="F652" s="37">
        <v>0</v>
      </c>
      <c r="G652" s="37">
        <v>0</v>
      </c>
      <c r="H652" s="37">
        <v>0</v>
      </c>
      <c r="I652" s="37">
        <v>0</v>
      </c>
      <c r="J652" s="11"/>
    </row>
    <row r="653" spans="1:10" ht="29.45" customHeight="1" x14ac:dyDescent="0.2">
      <c r="A653" s="583"/>
      <c r="B653" s="585"/>
      <c r="C653" s="7">
        <v>2017</v>
      </c>
      <c r="D653" s="29">
        <f>E653+F653+G653+H653+I653</f>
        <v>0</v>
      </c>
      <c r="E653" s="37">
        <v>0</v>
      </c>
      <c r="F653" s="37">
        <v>0</v>
      </c>
      <c r="G653" s="37">
        <v>0</v>
      </c>
      <c r="H653" s="37">
        <v>0</v>
      </c>
      <c r="I653" s="37">
        <v>0</v>
      </c>
      <c r="J653" s="11"/>
    </row>
    <row r="654" spans="1:10" ht="26.25" customHeight="1" x14ac:dyDescent="0.2">
      <c r="A654" s="583" t="s">
        <v>363</v>
      </c>
      <c r="B654" s="585" t="s">
        <v>364</v>
      </c>
      <c r="C654" s="9" t="s">
        <v>198</v>
      </c>
      <c r="D654" s="34">
        <f t="shared" ref="D654:I654" si="164">D655+D656+D657</f>
        <v>4.7047800000000001E-2</v>
      </c>
      <c r="E654" s="34">
        <f t="shared" si="164"/>
        <v>0</v>
      </c>
      <c r="F654" s="34">
        <f t="shared" si="164"/>
        <v>0</v>
      </c>
      <c r="G654" s="34">
        <f t="shared" si="164"/>
        <v>0</v>
      </c>
      <c r="H654" s="34">
        <f t="shared" si="164"/>
        <v>4.7047800000000001E-2</v>
      </c>
      <c r="I654" s="34">
        <f t="shared" si="164"/>
        <v>0</v>
      </c>
      <c r="J654" s="11"/>
    </row>
    <row r="655" spans="1:10" x14ac:dyDescent="0.2">
      <c r="A655" s="583"/>
      <c r="B655" s="585"/>
      <c r="C655" s="7">
        <v>2015</v>
      </c>
      <c r="D655" s="29">
        <f>E655+F655+G655+H655+I655</f>
        <v>1.7047799999999998E-2</v>
      </c>
      <c r="E655" s="37">
        <v>0</v>
      </c>
      <c r="F655" s="37">
        <v>0</v>
      </c>
      <c r="G655" s="37">
        <v>0</v>
      </c>
      <c r="H655" s="37">
        <f>17047.8/1000000</f>
        <v>1.7047799999999998E-2</v>
      </c>
      <c r="I655" s="37">
        <v>0</v>
      </c>
      <c r="J655" s="11"/>
    </row>
    <row r="656" spans="1:10" x14ac:dyDescent="0.2">
      <c r="A656" s="583"/>
      <c r="B656" s="585"/>
      <c r="C656" s="7">
        <v>2016</v>
      </c>
      <c r="D656" s="29">
        <f>E656+F656+G656+H656+I656</f>
        <v>1.4999999999999999E-2</v>
      </c>
      <c r="E656" s="37">
        <v>0</v>
      </c>
      <c r="F656" s="37">
        <v>0</v>
      </c>
      <c r="G656" s="37">
        <v>0</v>
      </c>
      <c r="H656" s="37">
        <f>15000/1000000</f>
        <v>1.4999999999999999E-2</v>
      </c>
      <c r="I656" s="37">
        <v>0</v>
      </c>
      <c r="J656" s="11"/>
    </row>
    <row r="657" spans="1:10" x14ac:dyDescent="0.2">
      <c r="A657" s="583"/>
      <c r="B657" s="585"/>
      <c r="C657" s="7">
        <v>2017</v>
      </c>
      <c r="D657" s="29">
        <f>E657+F657+G657+H657+I657</f>
        <v>1.4999999999999999E-2</v>
      </c>
      <c r="E657" s="37">
        <v>0</v>
      </c>
      <c r="F657" s="37">
        <v>0</v>
      </c>
      <c r="G657" s="37">
        <v>0</v>
      </c>
      <c r="H657" s="37">
        <f>15000/1000000</f>
        <v>1.4999999999999999E-2</v>
      </c>
      <c r="I657" s="37">
        <v>0</v>
      </c>
      <c r="J657" s="11"/>
    </row>
    <row r="658" spans="1:10" x14ac:dyDescent="0.2">
      <c r="A658" s="583" t="s">
        <v>365</v>
      </c>
      <c r="B658" s="585" t="s">
        <v>366</v>
      </c>
      <c r="C658" s="9" t="s">
        <v>198</v>
      </c>
      <c r="D658" s="34">
        <f t="shared" ref="D658:I658" si="165">D659+D660+D661</f>
        <v>0</v>
      </c>
      <c r="E658" s="34">
        <f t="shared" si="165"/>
        <v>0</v>
      </c>
      <c r="F658" s="34">
        <f t="shared" si="165"/>
        <v>0</v>
      </c>
      <c r="G658" s="34">
        <f t="shared" si="165"/>
        <v>0</v>
      </c>
      <c r="H658" s="34">
        <f t="shared" si="165"/>
        <v>0</v>
      </c>
      <c r="I658" s="34">
        <f t="shared" si="165"/>
        <v>0</v>
      </c>
      <c r="J658" s="11"/>
    </row>
    <row r="659" spans="1:10" x14ac:dyDescent="0.2">
      <c r="A659" s="583"/>
      <c r="B659" s="585"/>
      <c r="C659" s="7">
        <v>2015</v>
      </c>
      <c r="D659" s="29">
        <f>E659+F659+G659+H659+I659</f>
        <v>0</v>
      </c>
      <c r="E659" s="37">
        <v>0</v>
      </c>
      <c r="F659" s="37">
        <v>0</v>
      </c>
      <c r="G659" s="37">
        <v>0</v>
      </c>
      <c r="H659" s="37">
        <v>0</v>
      </c>
      <c r="I659" s="37">
        <v>0</v>
      </c>
      <c r="J659" s="11"/>
    </row>
    <row r="660" spans="1:10" x14ac:dyDescent="0.2">
      <c r="A660" s="583"/>
      <c r="B660" s="585"/>
      <c r="C660" s="7">
        <v>2016</v>
      </c>
      <c r="D660" s="29">
        <f>E660+F660+G660+H660+I660</f>
        <v>0</v>
      </c>
      <c r="E660" s="37">
        <v>0</v>
      </c>
      <c r="F660" s="37">
        <v>0</v>
      </c>
      <c r="G660" s="37">
        <v>0</v>
      </c>
      <c r="H660" s="37">
        <v>0</v>
      </c>
      <c r="I660" s="37">
        <v>0</v>
      </c>
      <c r="J660" s="11"/>
    </row>
    <row r="661" spans="1:10" x14ac:dyDescent="0.2">
      <c r="A661" s="583"/>
      <c r="B661" s="585"/>
      <c r="C661" s="7">
        <v>2017</v>
      </c>
      <c r="D661" s="29">
        <f>E661+F661+G661+H661+I661</f>
        <v>0</v>
      </c>
      <c r="E661" s="37">
        <v>0</v>
      </c>
      <c r="F661" s="37">
        <v>0</v>
      </c>
      <c r="G661" s="37">
        <v>0</v>
      </c>
      <c r="H661" s="37">
        <v>0</v>
      </c>
      <c r="I661" s="37">
        <v>0</v>
      </c>
      <c r="J661" s="11"/>
    </row>
    <row r="662" spans="1:10" x14ac:dyDescent="0.2">
      <c r="C662" s="42"/>
      <c r="D662" s="42"/>
      <c r="E662" s="42"/>
      <c r="F662" s="42"/>
      <c r="G662" s="42"/>
    </row>
    <row r="663" spans="1:10" x14ac:dyDescent="0.2">
      <c r="C663" s="42"/>
      <c r="D663" s="42"/>
      <c r="E663" s="42"/>
      <c r="F663" s="42"/>
      <c r="G663" s="42"/>
    </row>
    <row r="664" spans="1:10" x14ac:dyDescent="0.2">
      <c r="C664" s="42"/>
      <c r="D664" s="42"/>
      <c r="E664" s="42"/>
      <c r="F664" s="42"/>
      <c r="G664" s="42"/>
    </row>
    <row r="665" spans="1:10" x14ac:dyDescent="0.2">
      <c r="C665" s="42"/>
      <c r="D665" s="42"/>
      <c r="E665" s="42"/>
      <c r="F665" s="42"/>
      <c r="G665" s="42"/>
    </row>
    <row r="666" spans="1:10" x14ac:dyDescent="0.2">
      <c r="C666" s="42"/>
      <c r="D666" s="42"/>
      <c r="E666" s="42"/>
      <c r="F666" s="42"/>
      <c r="G666" s="42"/>
    </row>
    <row r="667" spans="1:10" x14ac:dyDescent="0.2">
      <c r="C667" s="42"/>
      <c r="D667" s="42"/>
      <c r="E667" s="42"/>
      <c r="F667" s="42"/>
      <c r="G667" s="42"/>
    </row>
    <row r="668" spans="1:10" x14ac:dyDescent="0.2">
      <c r="C668" s="42"/>
      <c r="D668" s="42"/>
      <c r="E668" s="42"/>
      <c r="F668" s="42"/>
      <c r="G668" s="42"/>
    </row>
    <row r="669" spans="1:10" x14ac:dyDescent="0.2">
      <c r="C669" s="42"/>
      <c r="D669" s="42"/>
      <c r="E669" s="42"/>
      <c r="F669" s="42"/>
      <c r="G669" s="42"/>
    </row>
    <row r="670" spans="1:10" x14ac:dyDescent="0.2">
      <c r="C670" s="42"/>
      <c r="D670" s="42"/>
      <c r="E670" s="42"/>
      <c r="F670" s="42"/>
      <c r="G670" s="42"/>
    </row>
    <row r="671" spans="1:10" x14ac:dyDescent="0.2">
      <c r="C671" s="42"/>
      <c r="D671" s="42"/>
      <c r="E671" s="42"/>
      <c r="F671" s="42"/>
      <c r="G671" s="42"/>
    </row>
    <row r="672" spans="1:10" x14ac:dyDescent="0.2">
      <c r="C672" s="42"/>
      <c r="D672" s="42"/>
      <c r="E672" s="42"/>
      <c r="F672" s="42"/>
      <c r="G672" s="42"/>
    </row>
    <row r="673" spans="3:7" x14ac:dyDescent="0.2">
      <c r="C673" s="42"/>
      <c r="D673" s="42"/>
      <c r="E673" s="42"/>
      <c r="F673" s="42"/>
      <c r="G673" s="42"/>
    </row>
    <row r="674" spans="3:7" x14ac:dyDescent="0.2">
      <c r="C674" s="42"/>
      <c r="D674" s="42"/>
      <c r="E674" s="42"/>
      <c r="F674" s="42"/>
      <c r="G674" s="42"/>
    </row>
    <row r="675" spans="3:7" x14ac:dyDescent="0.2">
      <c r="C675" s="42"/>
      <c r="D675" s="42"/>
      <c r="E675" s="42"/>
      <c r="F675" s="42"/>
      <c r="G675" s="42"/>
    </row>
    <row r="676" spans="3:7" x14ac:dyDescent="0.2">
      <c r="C676" s="42"/>
      <c r="D676" s="42"/>
      <c r="E676" s="42"/>
      <c r="F676" s="42"/>
      <c r="G676" s="42"/>
    </row>
    <row r="677" spans="3:7" x14ac:dyDescent="0.2">
      <c r="C677" s="42"/>
      <c r="D677" s="42"/>
      <c r="E677" s="42"/>
      <c r="F677" s="42"/>
      <c r="G677" s="42"/>
    </row>
    <row r="678" spans="3:7" x14ac:dyDescent="0.2">
      <c r="C678" s="42"/>
      <c r="D678" s="42"/>
      <c r="E678" s="42"/>
      <c r="F678" s="42"/>
      <c r="G678" s="42"/>
    </row>
    <row r="679" spans="3:7" x14ac:dyDescent="0.2">
      <c r="C679" s="42"/>
      <c r="D679" s="42"/>
      <c r="E679" s="42"/>
      <c r="F679" s="42"/>
      <c r="G679" s="42"/>
    </row>
    <row r="680" spans="3:7" x14ac:dyDescent="0.2">
      <c r="C680" s="42"/>
      <c r="D680" s="42"/>
      <c r="E680" s="42"/>
      <c r="F680" s="42"/>
      <c r="G680" s="42"/>
    </row>
    <row r="681" spans="3:7" x14ac:dyDescent="0.2">
      <c r="C681" s="42"/>
      <c r="D681" s="42"/>
      <c r="E681" s="42"/>
      <c r="F681" s="42"/>
      <c r="G681" s="42"/>
    </row>
    <row r="682" spans="3:7" x14ac:dyDescent="0.2">
      <c r="C682" s="42"/>
      <c r="D682" s="42"/>
      <c r="E682" s="42"/>
      <c r="F682" s="42"/>
      <c r="G682" s="42"/>
    </row>
    <row r="683" spans="3:7" x14ac:dyDescent="0.2">
      <c r="C683" s="42"/>
      <c r="D683" s="42"/>
      <c r="E683" s="42"/>
      <c r="F683" s="42"/>
      <c r="G683" s="42"/>
    </row>
    <row r="684" spans="3:7" x14ac:dyDescent="0.2">
      <c r="C684" s="42"/>
      <c r="D684" s="42"/>
      <c r="E684" s="42"/>
      <c r="F684" s="42"/>
      <c r="G684" s="42"/>
    </row>
    <row r="685" spans="3:7" x14ac:dyDescent="0.2">
      <c r="C685" s="42"/>
      <c r="D685" s="42"/>
      <c r="E685" s="42"/>
      <c r="F685" s="42"/>
      <c r="G685" s="42"/>
    </row>
    <row r="686" spans="3:7" x14ac:dyDescent="0.2">
      <c r="C686" s="42"/>
      <c r="D686" s="42"/>
      <c r="E686" s="42"/>
      <c r="F686" s="42"/>
      <c r="G686" s="42"/>
    </row>
    <row r="687" spans="3:7" x14ac:dyDescent="0.2">
      <c r="C687" s="42"/>
      <c r="D687" s="42"/>
      <c r="E687" s="42"/>
      <c r="F687" s="42"/>
      <c r="G687" s="42"/>
    </row>
    <row r="688" spans="3:7" x14ac:dyDescent="0.2">
      <c r="C688" s="42"/>
      <c r="D688" s="42"/>
      <c r="E688" s="42"/>
      <c r="F688" s="42"/>
      <c r="G688" s="42"/>
    </row>
    <row r="689" spans="3:7" x14ac:dyDescent="0.2">
      <c r="C689" s="42"/>
      <c r="D689" s="42"/>
      <c r="E689" s="42"/>
      <c r="F689" s="42"/>
      <c r="G689" s="42"/>
    </row>
    <row r="690" spans="3:7" x14ac:dyDescent="0.2">
      <c r="C690" s="42"/>
      <c r="D690" s="42"/>
      <c r="E690" s="42"/>
      <c r="F690" s="42"/>
      <c r="G690" s="42"/>
    </row>
    <row r="691" spans="3:7" x14ac:dyDescent="0.2">
      <c r="C691" s="42"/>
      <c r="D691" s="42"/>
      <c r="E691" s="42"/>
      <c r="F691" s="42"/>
      <c r="G691" s="42"/>
    </row>
    <row r="692" spans="3:7" x14ac:dyDescent="0.2">
      <c r="C692" s="42"/>
      <c r="D692" s="42"/>
      <c r="E692" s="42"/>
      <c r="F692" s="42"/>
      <c r="G692" s="42"/>
    </row>
    <row r="693" spans="3:7" x14ac:dyDescent="0.2">
      <c r="C693" s="42"/>
      <c r="D693" s="42"/>
      <c r="E693" s="42"/>
      <c r="F693" s="42"/>
      <c r="G693" s="42"/>
    </row>
    <row r="694" spans="3:7" x14ac:dyDescent="0.2">
      <c r="C694" s="42"/>
      <c r="D694" s="42"/>
      <c r="E694" s="42"/>
      <c r="F694" s="42"/>
      <c r="G694" s="42"/>
    </row>
    <row r="695" spans="3:7" x14ac:dyDescent="0.2">
      <c r="C695" s="42"/>
      <c r="D695" s="42"/>
      <c r="E695" s="42"/>
      <c r="F695" s="42"/>
      <c r="G695" s="42"/>
    </row>
    <row r="696" spans="3:7" x14ac:dyDescent="0.2">
      <c r="C696" s="42"/>
      <c r="D696" s="42"/>
      <c r="E696" s="42"/>
      <c r="F696" s="42"/>
      <c r="G696" s="42"/>
    </row>
    <row r="697" spans="3:7" x14ac:dyDescent="0.2">
      <c r="C697" s="42"/>
      <c r="D697" s="42"/>
      <c r="E697" s="42"/>
      <c r="F697" s="42"/>
      <c r="G697" s="42"/>
    </row>
    <row r="698" spans="3:7" x14ac:dyDescent="0.2">
      <c r="C698" s="42"/>
      <c r="D698" s="42"/>
      <c r="E698" s="42"/>
      <c r="F698" s="42"/>
      <c r="G698" s="42"/>
    </row>
    <row r="699" spans="3:7" x14ac:dyDescent="0.2">
      <c r="C699" s="42"/>
      <c r="D699" s="42"/>
      <c r="E699" s="42"/>
      <c r="F699" s="42"/>
      <c r="G699" s="42"/>
    </row>
    <row r="700" spans="3:7" x14ac:dyDescent="0.2">
      <c r="C700" s="42"/>
      <c r="D700" s="42"/>
      <c r="E700" s="42"/>
      <c r="F700" s="42"/>
      <c r="G700" s="42"/>
    </row>
    <row r="701" spans="3:7" x14ac:dyDescent="0.2">
      <c r="C701" s="42"/>
      <c r="D701" s="42"/>
      <c r="E701" s="42"/>
      <c r="F701" s="42"/>
      <c r="G701" s="42"/>
    </row>
    <row r="702" spans="3:7" x14ac:dyDescent="0.2">
      <c r="C702" s="42"/>
      <c r="D702" s="42"/>
      <c r="E702" s="42"/>
      <c r="F702" s="42"/>
      <c r="G702" s="42"/>
    </row>
    <row r="703" spans="3:7" x14ac:dyDescent="0.2">
      <c r="C703" s="42"/>
      <c r="D703" s="42"/>
      <c r="E703" s="42"/>
      <c r="F703" s="42"/>
      <c r="G703" s="42"/>
    </row>
    <row r="704" spans="3:7" x14ac:dyDescent="0.2">
      <c r="C704" s="42"/>
      <c r="D704" s="42"/>
      <c r="E704" s="42"/>
      <c r="F704" s="42"/>
      <c r="G704" s="42"/>
    </row>
    <row r="705" spans="3:7" x14ac:dyDescent="0.2">
      <c r="C705" s="42"/>
      <c r="D705" s="42"/>
      <c r="E705" s="42"/>
      <c r="F705" s="42"/>
      <c r="G705" s="42"/>
    </row>
    <row r="706" spans="3:7" x14ac:dyDescent="0.2">
      <c r="C706" s="42"/>
      <c r="D706" s="42"/>
      <c r="E706" s="42"/>
      <c r="F706" s="42"/>
      <c r="G706" s="42"/>
    </row>
    <row r="707" spans="3:7" x14ac:dyDescent="0.2">
      <c r="C707" s="42"/>
      <c r="D707" s="42"/>
      <c r="E707" s="42"/>
      <c r="F707" s="42"/>
      <c r="G707" s="42"/>
    </row>
    <row r="708" spans="3:7" x14ac:dyDescent="0.2">
      <c r="C708" s="42"/>
      <c r="D708" s="42"/>
      <c r="E708" s="42"/>
      <c r="F708" s="42"/>
      <c r="G708" s="42"/>
    </row>
  </sheetData>
  <mergeCells count="342">
    <mergeCell ref="B3:E3"/>
    <mergeCell ref="F3:I3"/>
    <mergeCell ref="A10:A13"/>
    <mergeCell ref="B10:B13"/>
    <mergeCell ref="A4:I4"/>
    <mergeCell ref="G5:I5"/>
    <mergeCell ref="E6:I7"/>
    <mergeCell ref="E8:E9"/>
    <mergeCell ref="F8:I8"/>
    <mergeCell ref="C6:C9"/>
    <mergeCell ref="D6:D9"/>
    <mergeCell ref="A35:A38"/>
    <mergeCell ref="B35:B38"/>
    <mergeCell ref="A23:A26"/>
    <mergeCell ref="B23:B26"/>
    <mergeCell ref="A27:A30"/>
    <mergeCell ref="B27:B30"/>
    <mergeCell ref="A31:A34"/>
    <mergeCell ref="B31:B34"/>
    <mergeCell ref="B6:B9"/>
    <mergeCell ref="A15:A18"/>
    <mergeCell ref="B15:B18"/>
    <mergeCell ref="A19:A22"/>
    <mergeCell ref="B19:B22"/>
    <mergeCell ref="A6:A9"/>
    <mergeCell ref="A39:A42"/>
    <mergeCell ref="B39:B42"/>
    <mergeCell ref="A43:A46"/>
    <mergeCell ref="B43:B46"/>
    <mergeCell ref="A59:A62"/>
    <mergeCell ref="B59:B62"/>
    <mergeCell ref="A55:A58"/>
    <mergeCell ref="B55:B58"/>
    <mergeCell ref="A83:A86"/>
    <mergeCell ref="B83:B86"/>
    <mergeCell ref="A47:A50"/>
    <mergeCell ref="B47:B50"/>
    <mergeCell ref="A51:A54"/>
    <mergeCell ref="B51:B54"/>
    <mergeCell ref="A63:A66"/>
    <mergeCell ref="B63:B66"/>
    <mergeCell ref="A87:A90"/>
    <mergeCell ref="B87:B90"/>
    <mergeCell ref="A67:A70"/>
    <mergeCell ref="B67:B70"/>
    <mergeCell ref="A71:A74"/>
    <mergeCell ref="B71:B74"/>
    <mergeCell ref="A75:A78"/>
    <mergeCell ref="B75:B78"/>
    <mergeCell ref="A79:A82"/>
    <mergeCell ref="B79:B82"/>
    <mergeCell ref="A91:A94"/>
    <mergeCell ref="B91:B94"/>
    <mergeCell ref="A95:A98"/>
    <mergeCell ref="B95:B98"/>
    <mergeCell ref="A107:A110"/>
    <mergeCell ref="B107:B110"/>
    <mergeCell ref="A131:A134"/>
    <mergeCell ref="B131:B134"/>
    <mergeCell ref="A135:A138"/>
    <mergeCell ref="B135:B138"/>
    <mergeCell ref="A99:A102"/>
    <mergeCell ref="B99:B102"/>
    <mergeCell ref="A103:A106"/>
    <mergeCell ref="B103:B106"/>
    <mergeCell ref="A111:A114"/>
    <mergeCell ref="B111:B114"/>
    <mergeCell ref="A123:A126"/>
    <mergeCell ref="B123:B126"/>
    <mergeCell ref="A127:A130"/>
    <mergeCell ref="B127:B130"/>
    <mergeCell ref="A115:A118"/>
    <mergeCell ref="B115:B118"/>
    <mergeCell ref="A119:A122"/>
    <mergeCell ref="B119:B122"/>
    <mergeCell ref="A139:A142"/>
    <mergeCell ref="B139:B142"/>
    <mergeCell ref="A143:A146"/>
    <mergeCell ref="B143:B146"/>
    <mergeCell ref="A155:A158"/>
    <mergeCell ref="B155:B158"/>
    <mergeCell ref="A179:A182"/>
    <mergeCell ref="B179:B182"/>
    <mergeCell ref="A183:A186"/>
    <mergeCell ref="B183:B186"/>
    <mergeCell ref="A147:A150"/>
    <mergeCell ref="B147:B150"/>
    <mergeCell ref="A151:A154"/>
    <mergeCell ref="B151:B154"/>
    <mergeCell ref="A159:A162"/>
    <mergeCell ref="B159:B162"/>
    <mergeCell ref="A171:A174"/>
    <mergeCell ref="B171:B174"/>
    <mergeCell ref="A175:A178"/>
    <mergeCell ref="B175:B178"/>
    <mergeCell ref="A163:A166"/>
    <mergeCell ref="B163:B166"/>
    <mergeCell ref="A167:A170"/>
    <mergeCell ref="B167:B170"/>
    <mergeCell ref="A187:A190"/>
    <mergeCell ref="B187:B190"/>
    <mergeCell ref="A231:A234"/>
    <mergeCell ref="B231:B234"/>
    <mergeCell ref="A211:A214"/>
    <mergeCell ref="B211:B214"/>
    <mergeCell ref="A191:A194"/>
    <mergeCell ref="B191:B194"/>
    <mergeCell ref="A195:A198"/>
    <mergeCell ref="B195:B198"/>
    <mergeCell ref="A199:A202"/>
    <mergeCell ref="B199:B202"/>
    <mergeCell ref="A203:A206"/>
    <mergeCell ref="B203:B206"/>
    <mergeCell ref="A207:A210"/>
    <mergeCell ref="B207:B210"/>
    <mergeCell ref="A264:A267"/>
    <mergeCell ref="B264:B267"/>
    <mergeCell ref="A268:A271"/>
    <mergeCell ref="B268:B271"/>
    <mergeCell ref="A235:A238"/>
    <mergeCell ref="B235:B238"/>
    <mergeCell ref="A215:A218"/>
    <mergeCell ref="B215:B218"/>
    <mergeCell ref="A219:A222"/>
    <mergeCell ref="B219:B222"/>
    <mergeCell ref="A223:A226"/>
    <mergeCell ref="B223:B226"/>
    <mergeCell ref="A227:A230"/>
    <mergeCell ref="B227:B230"/>
    <mergeCell ref="K240:L240"/>
    <mergeCell ref="K241:L241"/>
    <mergeCell ref="K242:L242"/>
    <mergeCell ref="A243:A246"/>
    <mergeCell ref="B243:B246"/>
    <mergeCell ref="K244:L244"/>
    <mergeCell ref="K245:L245"/>
    <mergeCell ref="K246:L246"/>
    <mergeCell ref="A260:A263"/>
    <mergeCell ref="B260:B263"/>
    <mergeCell ref="A252:A255"/>
    <mergeCell ref="B252:B255"/>
    <mergeCell ref="A239:A242"/>
    <mergeCell ref="B239:B242"/>
    <mergeCell ref="A256:A259"/>
    <mergeCell ref="B256:B259"/>
    <mergeCell ref="A272:A275"/>
    <mergeCell ref="B272:B275"/>
    <mergeCell ref="A292:A295"/>
    <mergeCell ref="B292:B295"/>
    <mergeCell ref="A296:A299"/>
    <mergeCell ref="B296:B299"/>
    <mergeCell ref="A284:A287"/>
    <mergeCell ref="B284:B287"/>
    <mergeCell ref="A288:A291"/>
    <mergeCell ref="B288:B291"/>
    <mergeCell ref="A276:A279"/>
    <mergeCell ref="B276:B279"/>
    <mergeCell ref="A280:A283"/>
    <mergeCell ref="B280:B283"/>
    <mergeCell ref="A340:A343"/>
    <mergeCell ref="B340:B343"/>
    <mergeCell ref="A344:A347"/>
    <mergeCell ref="B344:B347"/>
    <mergeCell ref="A332:A335"/>
    <mergeCell ref="B332:B335"/>
    <mergeCell ref="A336:A339"/>
    <mergeCell ref="B336:B339"/>
    <mergeCell ref="A300:A303"/>
    <mergeCell ref="B300:B303"/>
    <mergeCell ref="A304:A307"/>
    <mergeCell ref="B304:B307"/>
    <mergeCell ref="A388:A391"/>
    <mergeCell ref="B388:B391"/>
    <mergeCell ref="A392:A395"/>
    <mergeCell ref="B392:B395"/>
    <mergeCell ref="A380:A383"/>
    <mergeCell ref="B380:B383"/>
    <mergeCell ref="A384:A387"/>
    <mergeCell ref="B384:B387"/>
    <mergeCell ref="A308:A311"/>
    <mergeCell ref="B308:B311"/>
    <mergeCell ref="A312:A315"/>
    <mergeCell ref="B312:B315"/>
    <mergeCell ref="A324:A327"/>
    <mergeCell ref="B324:B327"/>
    <mergeCell ref="A348:A351"/>
    <mergeCell ref="B348:B351"/>
    <mergeCell ref="A352:A355"/>
    <mergeCell ref="B352:B355"/>
    <mergeCell ref="A316:A319"/>
    <mergeCell ref="B316:B319"/>
    <mergeCell ref="A320:A323"/>
    <mergeCell ref="B320:B323"/>
    <mergeCell ref="A328:A331"/>
    <mergeCell ref="B328:B331"/>
    <mergeCell ref="A436:A439"/>
    <mergeCell ref="B436:B439"/>
    <mergeCell ref="A440:A443"/>
    <mergeCell ref="B440:B443"/>
    <mergeCell ref="A428:A431"/>
    <mergeCell ref="B428:B431"/>
    <mergeCell ref="A432:A435"/>
    <mergeCell ref="B432:B435"/>
    <mergeCell ref="A356:A359"/>
    <mergeCell ref="B356:B359"/>
    <mergeCell ref="A360:A363"/>
    <mergeCell ref="B360:B363"/>
    <mergeCell ref="A372:A375"/>
    <mergeCell ref="B372:B375"/>
    <mergeCell ref="A396:A399"/>
    <mergeCell ref="B396:B399"/>
    <mergeCell ref="A400:A403"/>
    <mergeCell ref="B400:B403"/>
    <mergeCell ref="A364:A367"/>
    <mergeCell ref="B364:B367"/>
    <mergeCell ref="A368:A371"/>
    <mergeCell ref="B368:B371"/>
    <mergeCell ref="A376:A379"/>
    <mergeCell ref="B376:B379"/>
    <mergeCell ref="A482:A485"/>
    <mergeCell ref="B482:B485"/>
    <mergeCell ref="A486:A489"/>
    <mergeCell ref="B486:B489"/>
    <mergeCell ref="A474:A477"/>
    <mergeCell ref="B474:B477"/>
    <mergeCell ref="A478:A481"/>
    <mergeCell ref="B478:B481"/>
    <mergeCell ref="A404:A407"/>
    <mergeCell ref="B404:B407"/>
    <mergeCell ref="A408:A411"/>
    <mergeCell ref="B408:B411"/>
    <mergeCell ref="A420:A423"/>
    <mergeCell ref="B420:B423"/>
    <mergeCell ref="A444:A447"/>
    <mergeCell ref="B444:B447"/>
    <mergeCell ref="A448:A451"/>
    <mergeCell ref="B448:B451"/>
    <mergeCell ref="A412:A415"/>
    <mergeCell ref="B412:B415"/>
    <mergeCell ref="A416:A419"/>
    <mergeCell ref="B416:B419"/>
    <mergeCell ref="A424:A427"/>
    <mergeCell ref="B424:B427"/>
    <mergeCell ref="A530:A533"/>
    <mergeCell ref="B530:B533"/>
    <mergeCell ref="A534:A537"/>
    <mergeCell ref="B534:B537"/>
    <mergeCell ref="A522:A525"/>
    <mergeCell ref="B522:B525"/>
    <mergeCell ref="A526:A529"/>
    <mergeCell ref="B526:B529"/>
    <mergeCell ref="A452:A455"/>
    <mergeCell ref="B452:B455"/>
    <mergeCell ref="A456:A459"/>
    <mergeCell ref="B457:B459"/>
    <mergeCell ref="A467:A469"/>
    <mergeCell ref="B467:B469"/>
    <mergeCell ref="A490:A493"/>
    <mergeCell ref="B490:B493"/>
    <mergeCell ref="A494:A497"/>
    <mergeCell ref="B494:B497"/>
    <mergeCell ref="A460:A462"/>
    <mergeCell ref="B460:B462"/>
    <mergeCell ref="A463:A466"/>
    <mergeCell ref="B463:B466"/>
    <mergeCell ref="A470:A473"/>
    <mergeCell ref="B470:B473"/>
    <mergeCell ref="A550:A553"/>
    <mergeCell ref="B550:B553"/>
    <mergeCell ref="A554:A557"/>
    <mergeCell ref="B554:B557"/>
    <mergeCell ref="A566:A569"/>
    <mergeCell ref="B566:B569"/>
    <mergeCell ref="A574:A577"/>
    <mergeCell ref="B574:B577"/>
    <mergeCell ref="A498:A501"/>
    <mergeCell ref="B498:B501"/>
    <mergeCell ref="A502:A505"/>
    <mergeCell ref="B502:B505"/>
    <mergeCell ref="A514:A517"/>
    <mergeCell ref="B514:B517"/>
    <mergeCell ref="A538:A541"/>
    <mergeCell ref="B538:B541"/>
    <mergeCell ref="A542:A545"/>
    <mergeCell ref="B542:B545"/>
    <mergeCell ref="A506:A509"/>
    <mergeCell ref="B506:B509"/>
    <mergeCell ref="A510:A513"/>
    <mergeCell ref="B510:B513"/>
    <mergeCell ref="A518:A521"/>
    <mergeCell ref="B518:B521"/>
    <mergeCell ref="B586:B589"/>
    <mergeCell ref="A558:A561"/>
    <mergeCell ref="B558:B561"/>
    <mergeCell ref="A578:A581"/>
    <mergeCell ref="B578:B581"/>
    <mergeCell ref="A562:A565"/>
    <mergeCell ref="B562:B565"/>
    <mergeCell ref="A590:A593"/>
    <mergeCell ref="B590:B593"/>
    <mergeCell ref="A570:A573"/>
    <mergeCell ref="B570:B573"/>
    <mergeCell ref="A638:A641"/>
    <mergeCell ref="B638:B641"/>
    <mergeCell ref="A622:A625"/>
    <mergeCell ref="B622:B625"/>
    <mergeCell ref="A626:A629"/>
    <mergeCell ref="B626:B629"/>
    <mergeCell ref="A642:A645"/>
    <mergeCell ref="B642:B645"/>
    <mergeCell ref="A658:A661"/>
    <mergeCell ref="B658:B661"/>
    <mergeCell ref="A646:A649"/>
    <mergeCell ref="B646:B649"/>
    <mergeCell ref="A650:A653"/>
    <mergeCell ref="B650:B653"/>
    <mergeCell ref="A654:A657"/>
    <mergeCell ref="B654:B657"/>
    <mergeCell ref="F1:I1"/>
    <mergeCell ref="A634:A637"/>
    <mergeCell ref="B614:B617"/>
    <mergeCell ref="A618:A621"/>
    <mergeCell ref="B618:B621"/>
    <mergeCell ref="A630:A633"/>
    <mergeCell ref="A606:A609"/>
    <mergeCell ref="B606:B609"/>
    <mergeCell ref="A594:A597"/>
    <mergeCell ref="B594:B597"/>
    <mergeCell ref="A598:A601"/>
    <mergeCell ref="B598:B601"/>
    <mergeCell ref="A602:A605"/>
    <mergeCell ref="B602:B605"/>
    <mergeCell ref="B630:B633"/>
    <mergeCell ref="A610:A613"/>
    <mergeCell ref="B610:B613"/>
    <mergeCell ref="A614:A617"/>
    <mergeCell ref="B634:B637"/>
    <mergeCell ref="A546:A549"/>
    <mergeCell ref="B546:B549"/>
    <mergeCell ref="A582:A585"/>
    <mergeCell ref="B582:B585"/>
    <mergeCell ref="A586:A58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 alignWithMargins="0">
    <oddFooter>Страница &amp;P</oddFooter>
  </headerFooter>
  <rowBreaks count="16" manualBreakCount="16">
    <brk id="38" max="8" man="1"/>
    <brk id="74" max="8" man="1"/>
    <brk id="106" max="8" man="1"/>
    <brk id="138" max="8" man="1"/>
    <brk id="170" max="8" man="1"/>
    <brk id="206" max="8" man="1"/>
    <brk id="242" max="8" man="1"/>
    <brk id="319" max="8" man="1"/>
    <brk id="351" max="8" man="1"/>
    <brk id="387" max="8" man="1"/>
    <brk id="423" max="8" man="1"/>
    <brk id="489" max="8" man="1"/>
    <brk id="525" max="8" man="1"/>
    <brk id="561" max="8" man="1"/>
    <brk id="597" max="8" man="1"/>
    <brk id="63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1419"/>
  <sheetViews>
    <sheetView view="pageBreakPreview" topLeftCell="A2" zoomScaleNormal="125" zoomScaleSheetLayoutView="100" workbookViewId="0">
      <pane xSplit="3" ySplit="7" topLeftCell="D303" activePane="bottomRight" state="frozen"/>
      <selection activeCell="A2" sqref="A2"/>
      <selection pane="topRight" activeCell="D2" sqref="D2"/>
      <selection pane="bottomLeft" activeCell="A9" sqref="A9"/>
      <selection pane="bottomRight" activeCell="H320" sqref="H320"/>
    </sheetView>
  </sheetViews>
  <sheetFormatPr defaultRowHeight="12.75" x14ac:dyDescent="0.2"/>
  <cols>
    <col min="1" max="1" width="7.5703125" style="83" customWidth="1"/>
    <col min="2" max="2" width="40.7109375" style="67" customWidth="1"/>
    <col min="3" max="3" width="33.42578125" style="67" customWidth="1"/>
    <col min="4" max="4" width="13.5703125" style="68" customWidth="1"/>
    <col min="5" max="5" width="14.5703125" style="69" customWidth="1"/>
    <col min="6" max="6" width="13.42578125" style="69" customWidth="1"/>
    <col min="7" max="7" width="11.85546875" style="69" customWidth="1"/>
    <col min="8" max="8" width="11.28515625" style="69" customWidth="1"/>
    <col min="9" max="9" width="15.28515625" style="70" customWidth="1"/>
    <col min="10" max="10" width="14.42578125" style="70" customWidth="1"/>
    <col min="11" max="11" width="17.140625" style="262" customWidth="1"/>
    <col min="12" max="12" width="20.7109375" style="68" customWidth="1"/>
    <col min="13" max="13" width="14.85546875" style="85" customWidth="1"/>
    <col min="14" max="14" width="11.5703125" style="87" customWidth="1"/>
    <col min="15" max="15" width="23" style="48" customWidth="1"/>
    <col min="16" max="56" width="0" style="65" hidden="1" customWidth="1"/>
    <col min="57" max="136" width="0" style="85" hidden="1" customWidth="1"/>
    <col min="137" max="16384" width="9.140625" style="85"/>
  </cols>
  <sheetData>
    <row r="1" spans="1:57" ht="18.75" hidden="1" customHeight="1" x14ac:dyDescent="0.2">
      <c r="M1" s="925"/>
      <c r="N1" s="925"/>
      <c r="O1" s="925"/>
    </row>
    <row r="2" spans="1:57" ht="51" customHeight="1" x14ac:dyDescent="0.2">
      <c r="M2" s="926" t="s">
        <v>883</v>
      </c>
      <c r="N2" s="926"/>
      <c r="O2" s="926"/>
    </row>
    <row r="3" spans="1:57" ht="12.75" customHeight="1" x14ac:dyDescent="0.2">
      <c r="A3" s="927" t="s">
        <v>601</v>
      </c>
      <c r="B3" s="927"/>
      <c r="C3" s="927"/>
      <c r="D3" s="927"/>
      <c r="E3" s="927"/>
      <c r="F3" s="927"/>
      <c r="G3" s="927"/>
      <c r="H3" s="927"/>
      <c r="I3" s="927"/>
      <c r="J3" s="927"/>
      <c r="K3" s="263"/>
      <c r="N3" s="86"/>
      <c r="O3" s="65"/>
    </row>
    <row r="4" spans="1:57" x14ac:dyDescent="0.2">
      <c r="A4" s="84"/>
      <c r="B4" s="71"/>
      <c r="C4" s="71"/>
      <c r="D4" s="72"/>
      <c r="E4" s="73"/>
      <c r="F4" s="73"/>
      <c r="G4" s="73"/>
      <c r="H4" s="928" t="s">
        <v>188</v>
      </c>
      <c r="I4" s="928"/>
      <c r="J4" s="928"/>
      <c r="K4" s="264"/>
      <c r="N4" s="86"/>
      <c r="O4" s="65"/>
    </row>
    <row r="5" spans="1:57" s="48" customFormat="1" x14ac:dyDescent="0.2">
      <c r="A5" s="665" t="s">
        <v>189</v>
      </c>
      <c r="B5" s="678" t="s">
        <v>180</v>
      </c>
      <c r="C5" s="631" t="s">
        <v>181</v>
      </c>
      <c r="D5" s="629" t="s">
        <v>191</v>
      </c>
      <c r="E5" s="929" t="s">
        <v>182</v>
      </c>
      <c r="F5" s="74" t="s">
        <v>193</v>
      </c>
      <c r="G5" s="75"/>
      <c r="H5" s="75"/>
      <c r="I5" s="75"/>
      <c r="J5" s="76"/>
      <c r="K5" s="265"/>
      <c r="L5" s="930" t="s">
        <v>956</v>
      </c>
      <c r="M5" s="862" t="s">
        <v>183</v>
      </c>
      <c r="N5" s="934" t="s">
        <v>184</v>
      </c>
      <c r="O5" s="862" t="s">
        <v>185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</row>
    <row r="6" spans="1:57" s="48" customFormat="1" ht="12.75" customHeight="1" x14ac:dyDescent="0.2">
      <c r="A6" s="665"/>
      <c r="B6" s="678"/>
      <c r="C6" s="648"/>
      <c r="D6" s="629"/>
      <c r="E6" s="929"/>
      <c r="F6" s="77"/>
      <c r="G6" s="78"/>
      <c r="H6" s="78"/>
      <c r="I6" s="78"/>
      <c r="J6" s="79"/>
      <c r="K6" s="266"/>
      <c r="L6" s="931"/>
      <c r="M6" s="863"/>
      <c r="N6" s="935"/>
      <c r="O6" s="863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</row>
    <row r="7" spans="1:57" s="48" customFormat="1" ht="12.75" customHeight="1" x14ac:dyDescent="0.2">
      <c r="A7" s="665"/>
      <c r="B7" s="678"/>
      <c r="C7" s="648"/>
      <c r="D7" s="629"/>
      <c r="E7" s="929"/>
      <c r="F7" s="929" t="s">
        <v>194</v>
      </c>
      <c r="G7" s="937" t="s">
        <v>195</v>
      </c>
      <c r="H7" s="938"/>
      <c r="I7" s="938"/>
      <c r="J7" s="80"/>
      <c r="K7" s="266"/>
      <c r="L7" s="931"/>
      <c r="M7" s="863"/>
      <c r="N7" s="935"/>
      <c r="O7" s="863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</row>
    <row r="8" spans="1:57" s="48" customFormat="1" ht="25.5" x14ac:dyDescent="0.2">
      <c r="A8" s="665"/>
      <c r="B8" s="678"/>
      <c r="C8" s="632"/>
      <c r="D8" s="629"/>
      <c r="E8" s="929"/>
      <c r="F8" s="929"/>
      <c r="G8" s="188" t="s">
        <v>1</v>
      </c>
      <c r="H8" s="188" t="s">
        <v>2</v>
      </c>
      <c r="I8" s="188" t="s">
        <v>196</v>
      </c>
      <c r="J8" s="188" t="s">
        <v>3</v>
      </c>
      <c r="K8" s="267"/>
      <c r="L8" s="932"/>
      <c r="M8" s="778"/>
      <c r="N8" s="936"/>
      <c r="O8" s="778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</row>
    <row r="9" spans="1:57" s="90" customFormat="1" ht="29.25" customHeight="1" x14ac:dyDescent="0.2">
      <c r="A9" s="697"/>
      <c r="B9" s="933" t="s">
        <v>186</v>
      </c>
      <c r="C9" s="933"/>
      <c r="D9" s="46" t="s">
        <v>198</v>
      </c>
      <c r="E9" s="47">
        <f>E10+E11+E12+E13+E14+E15+E16+E17+E18+E19+E20+E21</f>
        <v>137168.63869366786</v>
      </c>
      <c r="F9" s="47">
        <f t="shared" ref="F9:J9" si="0">F10+F11+F12+F13+F14+F15+F16+F17+F18+F19+F20+F21</f>
        <v>2599.3802936678671</v>
      </c>
      <c r="G9" s="47">
        <f t="shared" si="0"/>
        <v>411.87579999999997</v>
      </c>
      <c r="H9" s="47">
        <f t="shared" si="0"/>
        <v>8020.3154999999988</v>
      </c>
      <c r="I9" s="47">
        <f t="shared" si="0"/>
        <v>125967.7049</v>
      </c>
      <c r="J9" s="47">
        <f t="shared" si="0"/>
        <v>169.36220000000003</v>
      </c>
      <c r="K9" s="261">
        <f>F9+G9+H9+I9+J9</f>
        <v>137168.63869366786</v>
      </c>
      <c r="L9" s="468">
        <f>E9-K9</f>
        <v>0</v>
      </c>
      <c r="M9" s="50"/>
      <c r="N9" s="51"/>
      <c r="O9" s="49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</row>
    <row r="10" spans="1:57" s="90" customFormat="1" ht="13.5" customHeight="1" x14ac:dyDescent="0.2">
      <c r="A10" s="717"/>
      <c r="B10" s="701"/>
      <c r="C10" s="701"/>
      <c r="D10" s="46">
        <v>2019</v>
      </c>
      <c r="E10" s="47">
        <f>E23+E75+E256+E276+E359+E401+E428+E454+E514+E540+E556+E693+E715+E756+E817+E983+E1034+E1110+E1153</f>
        <v>33792.876089999998</v>
      </c>
      <c r="F10" s="47">
        <f t="shared" ref="F10:J10" si="1">F23+F75+F256+F276+F359+F401+F428+F454+F514+F540+F556+F693+F715+F756+F817+F983+F1034+F1110+F1153</f>
        <v>234.08769000000001</v>
      </c>
      <c r="G10" s="47">
        <f t="shared" si="1"/>
        <v>106.84769999999999</v>
      </c>
      <c r="H10" s="47">
        <f t="shared" si="1"/>
        <v>4544.7029999999995</v>
      </c>
      <c r="I10" s="47">
        <f t="shared" si="1"/>
        <v>28875.748500000002</v>
      </c>
      <c r="J10" s="47">
        <f t="shared" si="1"/>
        <v>31.489200000000004</v>
      </c>
      <c r="K10" s="261">
        <f t="shared" ref="K10:K73" si="2">F10+G10+H10+I10+J10</f>
        <v>33792.876090000005</v>
      </c>
      <c r="L10" s="468">
        <f t="shared" ref="L10:L21" si="3">E10-K10</f>
        <v>0</v>
      </c>
      <c r="M10" s="50"/>
      <c r="N10" s="51"/>
      <c r="O10" s="49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</row>
    <row r="11" spans="1:57" s="90" customFormat="1" ht="13.5" customHeight="1" x14ac:dyDescent="0.2">
      <c r="A11" s="717"/>
      <c r="B11" s="701"/>
      <c r="C11" s="701"/>
      <c r="D11" s="46">
        <v>2020</v>
      </c>
      <c r="E11" s="47">
        <f>E24+E76+E257+E277+E402+E429+E455+E515+E541+E557+E694+E716+E757+E818+E958+E984+E1035+E1111+E1154+E1181+E360</f>
        <v>47477.485546000011</v>
      </c>
      <c r="F11" s="47">
        <f t="shared" ref="F11:J11" si="4">F24+F76+F257+F277+F402+F429+F455+F515+F541+F557+F694+F716+F757+F818+F958+F984+F1035+F1111+F1154+F1181+F360</f>
        <v>237.19264599999997</v>
      </c>
      <c r="G11" s="47">
        <f t="shared" si="4"/>
        <v>172.37690000000001</v>
      </c>
      <c r="H11" s="47">
        <f t="shared" si="4"/>
        <v>1334.9612999999995</v>
      </c>
      <c r="I11" s="47">
        <f t="shared" si="4"/>
        <v>45717.347399999999</v>
      </c>
      <c r="J11" s="47">
        <f t="shared" si="4"/>
        <v>15.607300000000002</v>
      </c>
      <c r="K11" s="261">
        <f t="shared" si="2"/>
        <v>47477.485546000004</v>
      </c>
      <c r="L11" s="468">
        <f t="shared" si="3"/>
        <v>0</v>
      </c>
      <c r="M11" s="50"/>
      <c r="N11" s="51"/>
      <c r="O11" s="49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</row>
    <row r="12" spans="1:57" s="90" customFormat="1" ht="13.5" customHeight="1" x14ac:dyDescent="0.2">
      <c r="A12" s="717"/>
      <c r="B12" s="701"/>
      <c r="C12" s="701"/>
      <c r="D12" s="46">
        <v>2021</v>
      </c>
      <c r="E12" s="47">
        <f>E25+E77+E258+E278+E361+E403+E430+E456+E516+E542+E558+E695+E717+E758+E819+E959+E985+E1036+E1112+E1155+E1182</f>
        <v>30830.548829999996</v>
      </c>
      <c r="F12" s="47">
        <f t="shared" ref="F12:J12" si="5">F25+F77+F258+F278+F361+F403+F430+F456+F516+F542+F558+F695+F717+F758+F819+F959+F985+F1036+F1112+F1155+F1182</f>
        <v>190.07343</v>
      </c>
      <c r="G12" s="47">
        <f t="shared" si="5"/>
        <v>132.35929999999999</v>
      </c>
      <c r="H12" s="47">
        <f t="shared" si="5"/>
        <v>484.13639999999992</v>
      </c>
      <c r="I12" s="47">
        <f t="shared" si="5"/>
        <v>30004.428899999999</v>
      </c>
      <c r="J12" s="47">
        <f t="shared" si="5"/>
        <v>19.550800000000002</v>
      </c>
      <c r="K12" s="261">
        <f t="shared" si="2"/>
        <v>30830.54883</v>
      </c>
      <c r="L12" s="468">
        <f t="shared" si="3"/>
        <v>0</v>
      </c>
      <c r="M12" s="50"/>
      <c r="N12" s="51"/>
      <c r="O12" s="49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</row>
    <row r="13" spans="1:57" s="90" customFormat="1" ht="13.5" customHeight="1" x14ac:dyDescent="0.2">
      <c r="A13" s="717"/>
      <c r="B13" s="701"/>
      <c r="C13" s="701"/>
      <c r="D13" s="46">
        <v>2022</v>
      </c>
      <c r="E13" s="47">
        <f t="shared" ref="E13:J13" si="6">-E26+E78+E279+E362+E404+E431+E517+E543+E559+E718+E759+E820+E960+E986+E1037+E1113+E1155+E457</f>
        <v>17106.450369999999</v>
      </c>
      <c r="F13" s="47">
        <f t="shared" si="6"/>
        <v>166.11646999999999</v>
      </c>
      <c r="G13" s="47">
        <f t="shared" si="6"/>
        <v>0.29189999999999999</v>
      </c>
      <c r="H13" s="47">
        <f t="shared" si="6"/>
        <v>84.703499999999991</v>
      </c>
      <c r="I13" s="47">
        <f t="shared" si="6"/>
        <v>16854.069500000001</v>
      </c>
      <c r="J13" s="47">
        <f t="shared" si="6"/>
        <v>1.2689999999999999</v>
      </c>
      <c r="K13" s="261">
        <f t="shared" si="2"/>
        <v>17106.450370000002</v>
      </c>
      <c r="L13" s="468">
        <f t="shared" si="3"/>
        <v>0</v>
      </c>
      <c r="M13" s="50"/>
      <c r="N13" s="51"/>
      <c r="O13" s="49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</row>
    <row r="14" spans="1:57" s="90" customFormat="1" ht="13.5" customHeight="1" x14ac:dyDescent="0.2">
      <c r="A14" s="717"/>
      <c r="B14" s="701"/>
      <c r="C14" s="701"/>
      <c r="D14" s="46">
        <v>2023</v>
      </c>
      <c r="E14" s="47">
        <f>E27+E79+E280+E363+E405+E432+E518+E544+E560+E719+E821+E961+E987+E1114+E1157+E458+E260</f>
        <v>4823.2968800000008</v>
      </c>
      <c r="F14" s="47">
        <f t="shared" ref="F14:J14" si="7">F27+F79+F280+F363+F405+F432+F518+F544+F560+F719+F821+F961+F987+F1114+F1157+F458+F260</f>
        <v>187.29787999999996</v>
      </c>
      <c r="G14" s="47">
        <f t="shared" si="7"/>
        <v>0</v>
      </c>
      <c r="H14" s="47">
        <f t="shared" si="7"/>
        <v>265.94390000000004</v>
      </c>
      <c r="I14" s="47">
        <f t="shared" si="7"/>
        <v>4352.0378999999994</v>
      </c>
      <c r="J14" s="47">
        <f t="shared" si="7"/>
        <v>18.017200000000003</v>
      </c>
      <c r="K14" s="261">
        <f t="shared" si="2"/>
        <v>4823.2968799999999</v>
      </c>
      <c r="L14" s="468">
        <f t="shared" si="3"/>
        <v>0</v>
      </c>
      <c r="M14" s="50"/>
      <c r="N14" s="51"/>
      <c r="O14" s="49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9"/>
    </row>
    <row r="15" spans="1:57" s="90" customFormat="1" ht="13.5" customHeight="1" x14ac:dyDescent="0.2">
      <c r="A15" s="717"/>
      <c r="B15" s="701"/>
      <c r="C15" s="701"/>
      <c r="D15" s="46">
        <v>2024</v>
      </c>
      <c r="E15" s="47">
        <f t="shared" ref="E15:J15" si="8">E28+E80+E281+E364+E406+E433+E519+E561+E720+E822+E962+E988+E1039+E1115+E1158+E459+E261+E1185</f>
        <v>491.18396999999993</v>
      </c>
      <c r="F15" s="47">
        <f t="shared" si="8"/>
        <v>195.55826999999996</v>
      </c>
      <c r="G15" s="47">
        <f t="shared" si="8"/>
        <v>0</v>
      </c>
      <c r="H15" s="47">
        <f t="shared" si="8"/>
        <v>209.79300000000001</v>
      </c>
      <c r="I15" s="47">
        <f t="shared" si="8"/>
        <v>74.896900000000002</v>
      </c>
      <c r="J15" s="47">
        <f t="shared" si="8"/>
        <v>10.9358</v>
      </c>
      <c r="K15" s="261">
        <f t="shared" si="2"/>
        <v>491.18397000000004</v>
      </c>
      <c r="L15" s="468">
        <f t="shared" si="3"/>
        <v>0</v>
      </c>
      <c r="M15" s="50"/>
      <c r="N15" s="51"/>
      <c r="O15" s="49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9"/>
    </row>
    <row r="16" spans="1:57" s="90" customFormat="1" ht="13.5" customHeight="1" x14ac:dyDescent="0.2">
      <c r="A16" s="717"/>
      <c r="B16" s="701"/>
      <c r="C16" s="701"/>
      <c r="D16" s="46">
        <v>2025</v>
      </c>
      <c r="E16" s="47">
        <f t="shared" ref="E16:J16" si="9">E29+E81+E282+E365+E434+E520+E562+E721+E823+E963+E989+E1040+E1116+E1159+E460+E262+E407+E1186</f>
        <v>386.44405</v>
      </c>
      <c r="F16" s="47">
        <f t="shared" si="9"/>
        <v>188.82794999999996</v>
      </c>
      <c r="G16" s="47">
        <f t="shared" si="9"/>
        <v>0</v>
      </c>
      <c r="H16" s="47">
        <f t="shared" si="9"/>
        <v>151.27500000000001</v>
      </c>
      <c r="I16" s="47">
        <f t="shared" si="9"/>
        <v>30.337900000000001</v>
      </c>
      <c r="J16" s="47">
        <f t="shared" si="9"/>
        <v>16.0032</v>
      </c>
      <c r="K16" s="261">
        <f t="shared" si="2"/>
        <v>386.44404999999995</v>
      </c>
      <c r="L16" s="468">
        <f t="shared" si="3"/>
        <v>0</v>
      </c>
      <c r="M16" s="50"/>
      <c r="N16" s="51"/>
      <c r="O16" s="49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</row>
    <row r="17" spans="1:57" s="90" customFormat="1" ht="13.5" customHeight="1" x14ac:dyDescent="0.2">
      <c r="A17" s="717"/>
      <c r="B17" s="701"/>
      <c r="C17" s="701"/>
      <c r="D17" s="46">
        <v>2026</v>
      </c>
      <c r="E17" s="47">
        <f t="shared" ref="E17:J17" si="10">E30+E82+E283+E435+E521+E563+E722+E761+E824+E964+E990+E1041+E1117+E1160+E1187</f>
        <v>551.59176079999997</v>
      </c>
      <c r="F17" s="47">
        <f t="shared" si="10"/>
        <v>265.71566080000002</v>
      </c>
      <c r="G17" s="47">
        <f t="shared" si="10"/>
        <v>0</v>
      </c>
      <c r="H17" s="47">
        <f t="shared" si="10"/>
        <v>226.56</v>
      </c>
      <c r="I17" s="47">
        <f t="shared" si="10"/>
        <v>43.837900000000005</v>
      </c>
      <c r="J17" s="47">
        <f t="shared" si="10"/>
        <v>15.478200000000001</v>
      </c>
      <c r="K17" s="261">
        <f t="shared" si="2"/>
        <v>551.59176080000009</v>
      </c>
      <c r="L17" s="468">
        <f t="shared" si="3"/>
        <v>0</v>
      </c>
      <c r="M17" s="50"/>
      <c r="N17" s="51"/>
      <c r="O17" s="49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9"/>
    </row>
    <row r="18" spans="1:57" s="90" customFormat="1" ht="13.5" customHeight="1" x14ac:dyDescent="0.2">
      <c r="A18" s="717"/>
      <c r="B18" s="701"/>
      <c r="C18" s="701"/>
      <c r="D18" s="46">
        <v>2027</v>
      </c>
      <c r="E18" s="47">
        <f>E31+E83+E284+E366+E436+E522+E564+E723+E825+E965+E991+E1161+E1042</f>
        <v>730.56742371200016</v>
      </c>
      <c r="F18" s="47">
        <f t="shared" ref="F18:J18" si="11">F31+F83+F284+F366+F436+F522+F564+F723+F825+F965+F991+F1161+F1042</f>
        <v>184.130123712</v>
      </c>
      <c r="G18" s="47">
        <f t="shared" si="11"/>
        <v>0</v>
      </c>
      <c r="H18" s="47">
        <f t="shared" si="11"/>
        <v>535.92539999999997</v>
      </c>
      <c r="I18" s="47">
        <f t="shared" si="11"/>
        <v>0</v>
      </c>
      <c r="J18" s="47">
        <f t="shared" si="11"/>
        <v>10.511900000000001</v>
      </c>
      <c r="K18" s="261">
        <f t="shared" si="2"/>
        <v>730.56742371199994</v>
      </c>
      <c r="L18" s="468">
        <f t="shared" si="3"/>
        <v>0</v>
      </c>
      <c r="M18" s="50"/>
      <c r="N18" s="51"/>
      <c r="O18" s="49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9"/>
    </row>
    <row r="19" spans="1:57" s="90" customFormat="1" ht="13.5" customHeight="1" x14ac:dyDescent="0.2">
      <c r="A19" s="717"/>
      <c r="B19" s="701"/>
      <c r="C19" s="701"/>
      <c r="D19" s="46">
        <v>2028</v>
      </c>
      <c r="E19" s="47">
        <f t="shared" ref="E19:J19" si="12">E32+E84+E285+E437+E523+E565+E724+E826+E966+E992+E1043+E1162+E1189</f>
        <v>320.48477592127989</v>
      </c>
      <c r="F19" s="47">
        <f t="shared" si="12"/>
        <v>194.12757592128</v>
      </c>
      <c r="G19" s="47">
        <f t="shared" si="12"/>
        <v>0</v>
      </c>
      <c r="H19" s="47">
        <f t="shared" si="12"/>
        <v>116.87899999999999</v>
      </c>
      <c r="I19" s="47">
        <f t="shared" si="12"/>
        <v>0</v>
      </c>
      <c r="J19" s="47">
        <f t="shared" si="12"/>
        <v>9.4782000000000011</v>
      </c>
      <c r="K19" s="261">
        <f t="shared" si="2"/>
        <v>320.48477592128</v>
      </c>
      <c r="L19" s="468">
        <f t="shared" si="3"/>
        <v>0</v>
      </c>
      <c r="M19" s="50"/>
      <c r="N19" s="51"/>
      <c r="O19" s="49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9"/>
    </row>
    <row r="20" spans="1:57" s="90" customFormat="1" ht="13.5" customHeight="1" x14ac:dyDescent="0.2">
      <c r="A20" s="717"/>
      <c r="B20" s="701"/>
      <c r="C20" s="701"/>
      <c r="D20" s="46">
        <v>2029</v>
      </c>
      <c r="E20" s="47">
        <f t="shared" ref="E20:J20" si="13">E33+E286+E367+E438+E524+E566+E725+E827+E967+E993+E1163+E1044+E1190</f>
        <v>336.83736295813117</v>
      </c>
      <c r="F20" s="47">
        <f t="shared" si="13"/>
        <v>274.85916295813115</v>
      </c>
      <c r="G20" s="47">
        <f t="shared" si="13"/>
        <v>0</v>
      </c>
      <c r="H20" s="47">
        <f t="shared" si="13"/>
        <v>50.435000000000002</v>
      </c>
      <c r="I20" s="47">
        <f t="shared" si="13"/>
        <v>0</v>
      </c>
      <c r="J20" s="47">
        <f t="shared" si="13"/>
        <v>11.543200000000001</v>
      </c>
      <c r="K20" s="261">
        <f t="shared" si="2"/>
        <v>336.83736295813117</v>
      </c>
      <c r="L20" s="468">
        <f t="shared" si="3"/>
        <v>0</v>
      </c>
      <c r="M20" s="50"/>
      <c r="N20" s="51"/>
      <c r="O20" s="49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9"/>
    </row>
    <row r="21" spans="1:57" s="90" customFormat="1" ht="13.5" customHeight="1" x14ac:dyDescent="0.2">
      <c r="A21" s="734"/>
      <c r="B21" s="702"/>
      <c r="C21" s="702"/>
      <c r="D21" s="46">
        <v>2030</v>
      </c>
      <c r="E21" s="47">
        <f t="shared" ref="E21:J21" si="14">E34+E86+E287+E439+E525+E567+E726+E762+E828+E968+E994+E1164+E1045+E1191</f>
        <v>320.87163427645646</v>
      </c>
      <c r="F21" s="47">
        <f t="shared" si="14"/>
        <v>281.39343427645645</v>
      </c>
      <c r="G21" s="47">
        <f t="shared" si="14"/>
        <v>0</v>
      </c>
      <c r="H21" s="47">
        <f t="shared" si="14"/>
        <v>15</v>
      </c>
      <c r="I21" s="47">
        <f t="shared" si="14"/>
        <v>15</v>
      </c>
      <c r="J21" s="47">
        <f t="shared" si="14"/>
        <v>9.4782000000000011</v>
      </c>
      <c r="K21" s="261">
        <f t="shared" si="2"/>
        <v>320.87163427645646</v>
      </c>
      <c r="L21" s="468">
        <f t="shared" si="3"/>
        <v>0</v>
      </c>
      <c r="M21" s="50"/>
      <c r="N21" s="51"/>
      <c r="O21" s="49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9"/>
    </row>
    <row r="22" spans="1:57" s="90" customFormat="1" ht="35.25" customHeight="1" x14ac:dyDescent="0.2">
      <c r="A22" s="151">
        <v>1</v>
      </c>
      <c r="B22" s="153" t="s">
        <v>602</v>
      </c>
      <c r="C22" s="250"/>
      <c r="D22" s="46" t="s">
        <v>198</v>
      </c>
      <c r="E22" s="47">
        <f>E23+E24+E25+E26+E27+E28+E29+E30+E31+E32+E33+E34</f>
        <v>35.498799999999996</v>
      </c>
      <c r="F22" s="47">
        <f>F23+F24+F25+F26+F27+F28+F29+F30+F31+F32+F33+F34</f>
        <v>35.498799999999996</v>
      </c>
      <c r="G22" s="47">
        <f t="shared" ref="G22:J22" si="15">G23+G24+G25+G26+G27+G28+G29+G30+G31+G32+G33+G34</f>
        <v>0</v>
      </c>
      <c r="H22" s="47">
        <f t="shared" si="15"/>
        <v>0</v>
      </c>
      <c r="I22" s="47">
        <f t="shared" si="15"/>
        <v>0</v>
      </c>
      <c r="J22" s="47">
        <f t="shared" si="15"/>
        <v>0</v>
      </c>
      <c r="K22" s="261">
        <f>SUM(K10:K21)</f>
        <v>137168.63869366786</v>
      </c>
      <c r="L22" s="52"/>
      <c r="M22" s="50"/>
      <c r="N22" s="51"/>
      <c r="O22" s="26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9"/>
    </row>
    <row r="23" spans="1:57" s="90" customFormat="1" ht="13.5" customHeight="1" x14ac:dyDescent="0.2">
      <c r="A23" s="203"/>
      <c r="B23" s="204"/>
      <c r="C23" s="250"/>
      <c r="D23" s="189">
        <v>2019</v>
      </c>
      <c r="E23" s="188">
        <f t="shared" ref="E23:J34" si="16">E36+E49+E62</f>
        <v>2.4135999999999997</v>
      </c>
      <c r="F23" s="188">
        <f t="shared" si="16"/>
        <v>2.4135999999999997</v>
      </c>
      <c r="G23" s="188">
        <f t="shared" si="16"/>
        <v>0</v>
      </c>
      <c r="H23" s="188">
        <f t="shared" si="16"/>
        <v>0</v>
      </c>
      <c r="I23" s="188">
        <f t="shared" si="16"/>
        <v>0</v>
      </c>
      <c r="J23" s="188">
        <f t="shared" si="16"/>
        <v>0</v>
      </c>
      <c r="K23" s="261">
        <f t="shared" si="2"/>
        <v>2.4135999999999997</v>
      </c>
      <c r="L23" s="52"/>
      <c r="M23" s="50"/>
      <c r="N23" s="51"/>
      <c r="O23" s="26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9"/>
    </row>
    <row r="24" spans="1:57" s="90" customFormat="1" ht="13.5" customHeight="1" x14ac:dyDescent="0.2">
      <c r="A24" s="203"/>
      <c r="B24" s="204"/>
      <c r="C24" s="250"/>
      <c r="D24" s="189">
        <v>2020</v>
      </c>
      <c r="E24" s="188">
        <f t="shared" si="16"/>
        <v>1.4824000000000002</v>
      </c>
      <c r="F24" s="188">
        <f t="shared" si="16"/>
        <v>1.4824000000000002</v>
      </c>
      <c r="G24" s="188">
        <f t="shared" si="16"/>
        <v>0</v>
      </c>
      <c r="H24" s="188">
        <f t="shared" si="16"/>
        <v>0</v>
      </c>
      <c r="I24" s="188">
        <f t="shared" si="16"/>
        <v>0</v>
      </c>
      <c r="J24" s="188">
        <f t="shared" si="16"/>
        <v>0</v>
      </c>
      <c r="K24" s="261">
        <f t="shared" si="2"/>
        <v>1.4824000000000002</v>
      </c>
      <c r="L24" s="52"/>
      <c r="M24" s="50"/>
      <c r="N24" s="51"/>
      <c r="O24" s="26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9"/>
    </row>
    <row r="25" spans="1:57" s="90" customFormat="1" ht="13.5" customHeight="1" x14ac:dyDescent="0.2">
      <c r="A25" s="203"/>
      <c r="B25" s="204"/>
      <c r="C25" s="250"/>
      <c r="D25" s="189">
        <v>2021</v>
      </c>
      <c r="E25" s="188">
        <f t="shared" si="16"/>
        <v>2.6947999999999999</v>
      </c>
      <c r="F25" s="188">
        <f t="shared" si="16"/>
        <v>2.6947999999999999</v>
      </c>
      <c r="G25" s="188">
        <f t="shared" si="16"/>
        <v>0</v>
      </c>
      <c r="H25" s="188">
        <f t="shared" si="16"/>
        <v>0</v>
      </c>
      <c r="I25" s="188">
        <f t="shared" si="16"/>
        <v>0</v>
      </c>
      <c r="J25" s="188">
        <f t="shared" si="16"/>
        <v>0</v>
      </c>
      <c r="K25" s="261">
        <f t="shared" si="2"/>
        <v>2.6947999999999999</v>
      </c>
      <c r="L25" s="52"/>
      <c r="M25" s="50"/>
      <c r="N25" s="51"/>
      <c r="O25" s="26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</row>
    <row r="26" spans="1:57" s="90" customFormat="1" ht="13.5" customHeight="1" x14ac:dyDescent="0.2">
      <c r="A26" s="203"/>
      <c r="B26" s="204"/>
      <c r="C26" s="250"/>
      <c r="D26" s="189">
        <v>2022</v>
      </c>
      <c r="E26" s="188">
        <f t="shared" si="16"/>
        <v>2.6949000000000001</v>
      </c>
      <c r="F26" s="188">
        <f t="shared" si="16"/>
        <v>2.6949000000000001</v>
      </c>
      <c r="G26" s="188">
        <f t="shared" si="16"/>
        <v>0</v>
      </c>
      <c r="H26" s="188">
        <f t="shared" si="16"/>
        <v>0</v>
      </c>
      <c r="I26" s="188">
        <f t="shared" si="16"/>
        <v>0</v>
      </c>
      <c r="J26" s="188">
        <f t="shared" si="16"/>
        <v>0</v>
      </c>
      <c r="K26" s="261">
        <f t="shared" si="2"/>
        <v>2.6949000000000001</v>
      </c>
      <c r="L26" s="52"/>
      <c r="M26" s="50"/>
      <c r="N26" s="51"/>
      <c r="O26" s="26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9"/>
    </row>
    <row r="27" spans="1:57" s="90" customFormat="1" ht="13.5" customHeight="1" x14ac:dyDescent="0.2">
      <c r="A27" s="203"/>
      <c r="B27" s="204"/>
      <c r="C27" s="250"/>
      <c r="D27" s="189">
        <v>2023</v>
      </c>
      <c r="E27" s="188">
        <f>E40+E53+E66</f>
        <v>5.4606000000000003</v>
      </c>
      <c r="F27" s="188">
        <f t="shared" si="16"/>
        <v>5.4606000000000003</v>
      </c>
      <c r="G27" s="188">
        <f t="shared" si="16"/>
        <v>0</v>
      </c>
      <c r="H27" s="188">
        <f t="shared" si="16"/>
        <v>0</v>
      </c>
      <c r="I27" s="188">
        <f t="shared" si="16"/>
        <v>0</v>
      </c>
      <c r="J27" s="188">
        <f t="shared" si="16"/>
        <v>0</v>
      </c>
      <c r="K27" s="261">
        <f t="shared" si="2"/>
        <v>5.4606000000000003</v>
      </c>
      <c r="L27" s="52"/>
      <c r="M27" s="50"/>
      <c r="N27" s="51"/>
      <c r="O27" s="26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9"/>
    </row>
    <row r="28" spans="1:57" s="90" customFormat="1" ht="13.5" customHeight="1" x14ac:dyDescent="0.2">
      <c r="A28" s="203"/>
      <c r="B28" s="204"/>
      <c r="C28" s="250"/>
      <c r="D28" s="189">
        <v>2024</v>
      </c>
      <c r="E28" s="188">
        <f>E41+E54+E67</f>
        <v>5.6774999999999993</v>
      </c>
      <c r="F28" s="188">
        <f t="shared" si="16"/>
        <v>5.6774999999999993</v>
      </c>
      <c r="G28" s="188">
        <f t="shared" si="16"/>
        <v>0</v>
      </c>
      <c r="H28" s="188">
        <f t="shared" si="16"/>
        <v>0</v>
      </c>
      <c r="I28" s="188">
        <f t="shared" si="16"/>
        <v>0</v>
      </c>
      <c r="J28" s="188">
        <f t="shared" si="16"/>
        <v>0</v>
      </c>
      <c r="K28" s="261">
        <f t="shared" si="2"/>
        <v>5.6774999999999993</v>
      </c>
      <c r="L28" s="52"/>
      <c r="M28" s="50"/>
      <c r="N28" s="51"/>
      <c r="O28" s="26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9"/>
    </row>
    <row r="29" spans="1:57" s="90" customFormat="1" ht="13.5" customHeight="1" x14ac:dyDescent="0.2">
      <c r="A29" s="203"/>
      <c r="B29" s="204"/>
      <c r="C29" s="250"/>
      <c r="D29" s="189">
        <v>2025</v>
      </c>
      <c r="E29" s="188">
        <f t="shared" si="16"/>
        <v>5.7424999999999997</v>
      </c>
      <c r="F29" s="188">
        <f t="shared" si="16"/>
        <v>5.7424999999999997</v>
      </c>
      <c r="G29" s="188">
        <f t="shared" si="16"/>
        <v>0</v>
      </c>
      <c r="H29" s="188">
        <f t="shared" si="16"/>
        <v>0</v>
      </c>
      <c r="I29" s="188">
        <f t="shared" si="16"/>
        <v>0</v>
      </c>
      <c r="J29" s="188">
        <f t="shared" si="16"/>
        <v>0</v>
      </c>
      <c r="K29" s="261">
        <f t="shared" si="2"/>
        <v>5.7424999999999997</v>
      </c>
      <c r="L29" s="52"/>
      <c r="M29" s="50"/>
      <c r="N29" s="51"/>
      <c r="O29" s="26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9"/>
    </row>
    <row r="30" spans="1:57" s="90" customFormat="1" ht="13.5" customHeight="1" x14ac:dyDescent="0.2">
      <c r="A30" s="203"/>
      <c r="B30" s="204"/>
      <c r="C30" s="250"/>
      <c r="D30" s="189">
        <v>2026</v>
      </c>
      <c r="E30" s="188">
        <f t="shared" si="16"/>
        <v>1.3933</v>
      </c>
      <c r="F30" s="188">
        <f t="shared" si="16"/>
        <v>1.3933</v>
      </c>
      <c r="G30" s="188">
        <f t="shared" si="16"/>
        <v>0</v>
      </c>
      <c r="H30" s="188">
        <f t="shared" si="16"/>
        <v>0</v>
      </c>
      <c r="I30" s="188">
        <f t="shared" si="16"/>
        <v>0</v>
      </c>
      <c r="J30" s="188">
        <f t="shared" si="16"/>
        <v>0</v>
      </c>
      <c r="K30" s="261">
        <f t="shared" si="2"/>
        <v>1.3933</v>
      </c>
      <c r="L30" s="52"/>
      <c r="M30" s="50"/>
      <c r="N30" s="51"/>
      <c r="O30" s="26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9"/>
    </row>
    <row r="31" spans="1:57" s="90" customFormat="1" ht="13.5" customHeight="1" x14ac:dyDescent="0.2">
      <c r="A31" s="203"/>
      <c r="B31" s="204"/>
      <c r="C31" s="250"/>
      <c r="D31" s="189">
        <v>2027</v>
      </c>
      <c r="E31" s="188">
        <f t="shared" si="16"/>
        <v>2.3397000000000001</v>
      </c>
      <c r="F31" s="188">
        <f t="shared" si="16"/>
        <v>2.3397000000000001</v>
      </c>
      <c r="G31" s="188">
        <f t="shared" si="16"/>
        <v>0</v>
      </c>
      <c r="H31" s="188">
        <f t="shared" si="16"/>
        <v>0</v>
      </c>
      <c r="I31" s="188">
        <f t="shared" si="16"/>
        <v>0</v>
      </c>
      <c r="J31" s="188">
        <f t="shared" si="16"/>
        <v>0</v>
      </c>
      <c r="K31" s="261">
        <f t="shared" si="2"/>
        <v>2.3397000000000001</v>
      </c>
      <c r="L31" s="52"/>
      <c r="M31" s="50"/>
      <c r="N31" s="51"/>
      <c r="O31" s="26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9"/>
    </row>
    <row r="32" spans="1:57" s="90" customFormat="1" ht="13.5" customHeight="1" x14ac:dyDescent="0.2">
      <c r="A32" s="203"/>
      <c r="B32" s="204"/>
      <c r="C32" s="250"/>
      <c r="D32" s="189">
        <v>2028</v>
      </c>
      <c r="E32" s="188">
        <f t="shared" si="16"/>
        <v>1.8665</v>
      </c>
      <c r="F32" s="188">
        <f t="shared" si="16"/>
        <v>1.8665</v>
      </c>
      <c r="G32" s="188">
        <f t="shared" si="16"/>
        <v>0</v>
      </c>
      <c r="H32" s="188">
        <f t="shared" si="16"/>
        <v>0</v>
      </c>
      <c r="I32" s="188">
        <f t="shared" si="16"/>
        <v>0</v>
      </c>
      <c r="J32" s="188">
        <f t="shared" si="16"/>
        <v>0</v>
      </c>
      <c r="K32" s="261">
        <f t="shared" si="2"/>
        <v>1.8665</v>
      </c>
      <c r="L32" s="52"/>
      <c r="M32" s="50"/>
      <c r="N32" s="51"/>
      <c r="O32" s="26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9"/>
    </row>
    <row r="33" spans="1:57" s="90" customFormat="1" ht="13.5" customHeight="1" x14ac:dyDescent="0.2">
      <c r="A33" s="203"/>
      <c r="B33" s="204"/>
      <c r="C33" s="250"/>
      <c r="D33" s="189">
        <v>2029</v>
      </c>
      <c r="E33" s="188">
        <f t="shared" si="16"/>
        <v>1.3933</v>
      </c>
      <c r="F33" s="188">
        <f t="shared" si="16"/>
        <v>1.3933</v>
      </c>
      <c r="G33" s="188">
        <f t="shared" si="16"/>
        <v>0</v>
      </c>
      <c r="H33" s="188">
        <f t="shared" si="16"/>
        <v>0</v>
      </c>
      <c r="I33" s="188">
        <f t="shared" si="16"/>
        <v>0</v>
      </c>
      <c r="J33" s="188">
        <f t="shared" si="16"/>
        <v>0</v>
      </c>
      <c r="K33" s="261">
        <f t="shared" si="2"/>
        <v>1.3933</v>
      </c>
      <c r="L33" s="52"/>
      <c r="M33" s="50"/>
      <c r="N33" s="51"/>
      <c r="O33" s="26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9"/>
    </row>
    <row r="34" spans="1:57" s="90" customFormat="1" ht="13.5" customHeight="1" x14ac:dyDescent="0.2">
      <c r="A34" s="203"/>
      <c r="B34" s="204"/>
      <c r="C34" s="250"/>
      <c r="D34" s="189">
        <v>2030</v>
      </c>
      <c r="E34" s="188">
        <f t="shared" si="16"/>
        <v>2.3397000000000001</v>
      </c>
      <c r="F34" s="188">
        <f t="shared" si="16"/>
        <v>2.3397000000000001</v>
      </c>
      <c r="G34" s="188">
        <f t="shared" si="16"/>
        <v>0</v>
      </c>
      <c r="H34" s="188">
        <f t="shared" si="16"/>
        <v>0</v>
      </c>
      <c r="I34" s="188">
        <f t="shared" si="16"/>
        <v>0</v>
      </c>
      <c r="J34" s="188">
        <f t="shared" si="16"/>
        <v>0</v>
      </c>
      <c r="K34" s="261">
        <f t="shared" si="2"/>
        <v>2.3397000000000001</v>
      </c>
      <c r="L34" s="52"/>
      <c r="M34" s="50"/>
      <c r="N34" s="51"/>
      <c r="O34" s="26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9"/>
    </row>
    <row r="35" spans="1:57" s="90" customFormat="1" ht="13.5" customHeight="1" x14ac:dyDescent="0.2">
      <c r="A35" s="670" t="s">
        <v>5</v>
      </c>
      <c r="B35" s="631" t="s">
        <v>729</v>
      </c>
      <c r="C35" s="269"/>
      <c r="D35" s="46" t="s">
        <v>198</v>
      </c>
      <c r="E35" s="47">
        <f>E36+E37+E38+E39+E40+E41+E42+E43+E44+E45+E46+E47</f>
        <v>1.4656999999999998</v>
      </c>
      <c r="F35" s="47">
        <f>F36+F37+F38+F39+F40+F41+F42+F43+F44+F45+F46+F47</f>
        <v>1.4656999999999998</v>
      </c>
      <c r="G35" s="47">
        <f t="shared" ref="G35:J35" si="17">G36+G37+G38+G39+G40+G41+G42+G43+G44+G45+G46+G47</f>
        <v>0</v>
      </c>
      <c r="H35" s="47">
        <f t="shared" si="17"/>
        <v>0</v>
      </c>
      <c r="I35" s="47">
        <f t="shared" si="17"/>
        <v>0</v>
      </c>
      <c r="J35" s="47">
        <f t="shared" si="17"/>
        <v>0</v>
      </c>
      <c r="K35" s="261">
        <f t="shared" si="2"/>
        <v>1.4656999999999998</v>
      </c>
      <c r="L35" s="52"/>
      <c r="M35" s="50"/>
      <c r="N35" s="51"/>
      <c r="O35" s="270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9"/>
    </row>
    <row r="36" spans="1:57" s="90" customFormat="1" x14ac:dyDescent="0.2">
      <c r="A36" s="717"/>
      <c r="B36" s="701"/>
      <c r="C36" s="183" t="s">
        <v>415</v>
      </c>
      <c r="D36" s="189">
        <v>2019</v>
      </c>
      <c r="E36" s="188">
        <f>F36</f>
        <v>0.22639999999999999</v>
      </c>
      <c r="F36" s="188">
        <v>0.22639999999999999</v>
      </c>
      <c r="G36" s="188">
        <v>0</v>
      </c>
      <c r="H36" s="188">
        <v>0</v>
      </c>
      <c r="I36" s="188">
        <v>0</v>
      </c>
      <c r="J36" s="188">
        <v>0</v>
      </c>
      <c r="K36" s="261">
        <f t="shared" si="2"/>
        <v>0.22639999999999999</v>
      </c>
      <c r="L36" s="52"/>
      <c r="M36" s="50"/>
      <c r="N36" s="51"/>
      <c r="O36" s="769" t="s">
        <v>230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9"/>
    </row>
    <row r="37" spans="1:57" s="90" customFormat="1" x14ac:dyDescent="0.2">
      <c r="A37" s="717"/>
      <c r="B37" s="701"/>
      <c r="C37" s="631" t="s">
        <v>890</v>
      </c>
      <c r="D37" s="189">
        <v>2020</v>
      </c>
      <c r="E37" s="188">
        <f t="shared" ref="E37:E47" si="18">F37</f>
        <v>0.1467</v>
      </c>
      <c r="F37" s="188">
        <v>0.1467</v>
      </c>
      <c r="G37" s="188">
        <v>0</v>
      </c>
      <c r="H37" s="188">
        <v>0</v>
      </c>
      <c r="I37" s="188">
        <v>0</v>
      </c>
      <c r="J37" s="188">
        <v>0</v>
      </c>
      <c r="K37" s="261">
        <f t="shared" si="2"/>
        <v>0.1467</v>
      </c>
      <c r="L37" s="52"/>
      <c r="M37" s="50"/>
      <c r="N37" s="51"/>
      <c r="O37" s="941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9"/>
    </row>
    <row r="38" spans="1:57" s="90" customFormat="1" x14ac:dyDescent="0.2">
      <c r="A38" s="717"/>
      <c r="B38" s="701"/>
      <c r="C38" s="648"/>
      <c r="D38" s="189">
        <v>2021</v>
      </c>
      <c r="E38" s="188">
        <f t="shared" si="18"/>
        <v>0.15260000000000001</v>
      </c>
      <c r="F38" s="188">
        <v>0.15260000000000001</v>
      </c>
      <c r="G38" s="188">
        <v>0</v>
      </c>
      <c r="H38" s="188">
        <v>0</v>
      </c>
      <c r="I38" s="188">
        <v>0</v>
      </c>
      <c r="J38" s="188">
        <v>0</v>
      </c>
      <c r="K38" s="261">
        <f t="shared" si="2"/>
        <v>0.15260000000000001</v>
      </c>
      <c r="L38" s="52"/>
      <c r="M38" s="50"/>
      <c r="N38" s="51"/>
      <c r="O38" s="941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9"/>
    </row>
    <row r="39" spans="1:57" s="90" customFormat="1" x14ac:dyDescent="0.2">
      <c r="A39" s="717"/>
      <c r="B39" s="701"/>
      <c r="C39" s="648"/>
      <c r="D39" s="189">
        <v>2022</v>
      </c>
      <c r="E39" s="188">
        <f t="shared" si="18"/>
        <v>0.15260000000000001</v>
      </c>
      <c r="F39" s="188">
        <v>0.15260000000000001</v>
      </c>
      <c r="G39" s="188">
        <v>0</v>
      </c>
      <c r="H39" s="188">
        <v>0</v>
      </c>
      <c r="I39" s="188">
        <v>0</v>
      </c>
      <c r="J39" s="188">
        <v>0</v>
      </c>
      <c r="K39" s="261">
        <f t="shared" si="2"/>
        <v>0.15260000000000001</v>
      </c>
      <c r="L39" s="52"/>
      <c r="M39" s="50"/>
      <c r="N39" s="51"/>
      <c r="O39" s="941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</row>
    <row r="40" spans="1:57" s="90" customFormat="1" x14ac:dyDescent="0.2">
      <c r="A40" s="717"/>
      <c r="B40" s="701"/>
      <c r="C40" s="648"/>
      <c r="D40" s="189">
        <v>2023</v>
      </c>
      <c r="E40" s="188">
        <f t="shared" si="18"/>
        <v>5.4000000000000003E-3</v>
      </c>
      <c r="F40" s="188">
        <v>5.4000000000000003E-3</v>
      </c>
      <c r="G40" s="188">
        <v>0</v>
      </c>
      <c r="H40" s="188">
        <v>0</v>
      </c>
      <c r="I40" s="188">
        <v>0</v>
      </c>
      <c r="J40" s="188">
        <v>0</v>
      </c>
      <c r="K40" s="261">
        <f t="shared" si="2"/>
        <v>5.4000000000000003E-3</v>
      </c>
      <c r="L40" s="52"/>
      <c r="M40" s="50"/>
      <c r="N40" s="51"/>
      <c r="O40" s="941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</row>
    <row r="41" spans="1:57" s="90" customFormat="1" x14ac:dyDescent="0.2">
      <c r="A41" s="717"/>
      <c r="B41" s="701"/>
      <c r="C41" s="648"/>
      <c r="D41" s="189">
        <v>2024</v>
      </c>
      <c r="E41" s="188">
        <f t="shared" si="18"/>
        <v>5.5999999999999999E-3</v>
      </c>
      <c r="F41" s="188">
        <v>5.5999999999999999E-3</v>
      </c>
      <c r="G41" s="188">
        <v>0</v>
      </c>
      <c r="H41" s="188">
        <v>0</v>
      </c>
      <c r="I41" s="188">
        <v>0</v>
      </c>
      <c r="J41" s="188">
        <v>0</v>
      </c>
      <c r="K41" s="261">
        <f t="shared" si="2"/>
        <v>5.5999999999999999E-3</v>
      </c>
      <c r="L41" s="52"/>
      <c r="M41" s="50"/>
      <c r="N41" s="51"/>
      <c r="O41" s="941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9"/>
    </row>
    <row r="42" spans="1:57" s="90" customFormat="1" x14ac:dyDescent="0.2">
      <c r="A42" s="717"/>
      <c r="B42" s="701"/>
      <c r="C42" s="632"/>
      <c r="D42" s="189">
        <v>2025</v>
      </c>
      <c r="E42" s="188">
        <f t="shared" si="18"/>
        <v>5.8999999999999999E-3</v>
      </c>
      <c r="F42" s="188">
        <v>5.8999999999999999E-3</v>
      </c>
      <c r="G42" s="188">
        <v>0</v>
      </c>
      <c r="H42" s="188">
        <v>0</v>
      </c>
      <c r="I42" s="188">
        <v>0</v>
      </c>
      <c r="J42" s="188">
        <v>0</v>
      </c>
      <c r="K42" s="261">
        <f t="shared" si="2"/>
        <v>5.8999999999999999E-3</v>
      </c>
      <c r="L42" s="52"/>
      <c r="M42" s="50"/>
      <c r="N42" s="51"/>
      <c r="O42" s="941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9"/>
    </row>
    <row r="43" spans="1:57" s="90" customFormat="1" x14ac:dyDescent="0.2">
      <c r="A43" s="717"/>
      <c r="B43" s="701"/>
      <c r="C43" s="631" t="s">
        <v>728</v>
      </c>
      <c r="D43" s="189">
        <v>2026</v>
      </c>
      <c r="E43" s="188">
        <f t="shared" si="18"/>
        <v>0.15409999999999999</v>
      </c>
      <c r="F43" s="188">
        <v>0.15409999999999999</v>
      </c>
      <c r="G43" s="188">
        <v>0</v>
      </c>
      <c r="H43" s="188">
        <v>0</v>
      </c>
      <c r="I43" s="188">
        <v>0</v>
      </c>
      <c r="J43" s="188">
        <v>0</v>
      </c>
      <c r="K43" s="261">
        <f t="shared" si="2"/>
        <v>0.15409999999999999</v>
      </c>
      <c r="L43" s="52"/>
      <c r="M43" s="50"/>
      <c r="N43" s="51"/>
      <c r="O43" s="941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9"/>
    </row>
    <row r="44" spans="1:57" s="90" customFormat="1" x14ac:dyDescent="0.2">
      <c r="A44" s="717"/>
      <c r="B44" s="701"/>
      <c r="C44" s="648"/>
      <c r="D44" s="189">
        <v>2027</v>
      </c>
      <c r="E44" s="188">
        <f t="shared" si="18"/>
        <v>0.15409999999999999</v>
      </c>
      <c r="F44" s="188">
        <v>0.15409999999999999</v>
      </c>
      <c r="G44" s="188">
        <v>0</v>
      </c>
      <c r="H44" s="188">
        <v>0</v>
      </c>
      <c r="I44" s="188">
        <v>0</v>
      </c>
      <c r="J44" s="188">
        <v>0</v>
      </c>
      <c r="K44" s="261">
        <f t="shared" si="2"/>
        <v>0.15409999999999999</v>
      </c>
      <c r="L44" s="52"/>
      <c r="M44" s="50"/>
      <c r="N44" s="51"/>
      <c r="O44" s="941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9"/>
    </row>
    <row r="45" spans="1:57" s="90" customFormat="1" x14ac:dyDescent="0.2">
      <c r="A45" s="717"/>
      <c r="B45" s="701"/>
      <c r="C45" s="648"/>
      <c r="D45" s="189">
        <v>2028</v>
      </c>
      <c r="E45" s="188">
        <f t="shared" si="18"/>
        <v>0.15409999999999999</v>
      </c>
      <c r="F45" s="188">
        <v>0.15409999999999999</v>
      </c>
      <c r="G45" s="188">
        <v>0</v>
      </c>
      <c r="H45" s="188">
        <v>0</v>
      </c>
      <c r="I45" s="188">
        <v>0</v>
      </c>
      <c r="J45" s="188">
        <v>0</v>
      </c>
      <c r="K45" s="261">
        <f t="shared" si="2"/>
        <v>0.15409999999999999</v>
      </c>
      <c r="L45" s="52"/>
      <c r="M45" s="50"/>
      <c r="N45" s="51"/>
      <c r="O45" s="941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</row>
    <row r="46" spans="1:57" s="90" customFormat="1" x14ac:dyDescent="0.2">
      <c r="A46" s="717"/>
      <c r="B46" s="701"/>
      <c r="C46" s="648"/>
      <c r="D46" s="189">
        <v>2029</v>
      </c>
      <c r="E46" s="188">
        <f t="shared" si="18"/>
        <v>0.15409999999999999</v>
      </c>
      <c r="F46" s="188">
        <v>0.15409999999999999</v>
      </c>
      <c r="G46" s="188">
        <v>0</v>
      </c>
      <c r="H46" s="188">
        <v>0</v>
      </c>
      <c r="I46" s="188">
        <v>0</v>
      </c>
      <c r="J46" s="188">
        <v>0</v>
      </c>
      <c r="K46" s="261">
        <f t="shared" si="2"/>
        <v>0.15409999999999999</v>
      </c>
      <c r="L46" s="52"/>
      <c r="M46" s="50"/>
      <c r="N46" s="51"/>
      <c r="O46" s="941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9"/>
    </row>
    <row r="47" spans="1:57" s="90" customFormat="1" x14ac:dyDescent="0.2">
      <c r="A47" s="734"/>
      <c r="B47" s="702"/>
      <c r="C47" s="632"/>
      <c r="D47" s="189">
        <v>2030</v>
      </c>
      <c r="E47" s="188">
        <f t="shared" si="18"/>
        <v>0.15409999999999999</v>
      </c>
      <c r="F47" s="188">
        <v>0.15409999999999999</v>
      </c>
      <c r="G47" s="188">
        <v>0</v>
      </c>
      <c r="H47" s="188">
        <v>0</v>
      </c>
      <c r="I47" s="188">
        <v>0</v>
      </c>
      <c r="J47" s="188">
        <v>0</v>
      </c>
      <c r="K47" s="261">
        <f t="shared" si="2"/>
        <v>0.15409999999999999</v>
      </c>
      <c r="L47" s="52"/>
      <c r="M47" s="50"/>
      <c r="N47" s="51"/>
      <c r="O47" s="941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9"/>
    </row>
    <row r="48" spans="1:57" s="90" customFormat="1" x14ac:dyDescent="0.2">
      <c r="A48" s="662" t="s">
        <v>727</v>
      </c>
      <c r="B48" s="631" t="s">
        <v>730</v>
      </c>
      <c r="C48" s="250"/>
      <c r="D48" s="46" t="s">
        <v>198</v>
      </c>
      <c r="E48" s="47">
        <f>E49+E50+E51+E52+E53+E54+E55+E56+E57+E58+E59+E60</f>
        <v>0.45599999999999991</v>
      </c>
      <c r="F48" s="47">
        <f>F49+F50+F51+F52+F53+F54+F55+F56+F57+F58+F59+F60</f>
        <v>0.45599999999999991</v>
      </c>
      <c r="G48" s="47">
        <f t="shared" ref="G48:J48" si="19">G49+G50+G51+G52+G53+G54+G55+G56+G57+G58+G59+G60</f>
        <v>0</v>
      </c>
      <c r="H48" s="47">
        <f t="shared" si="19"/>
        <v>0</v>
      </c>
      <c r="I48" s="47">
        <f t="shared" si="19"/>
        <v>0</v>
      </c>
      <c r="J48" s="47">
        <f t="shared" si="19"/>
        <v>0</v>
      </c>
      <c r="K48" s="261">
        <f t="shared" si="2"/>
        <v>0.45599999999999991</v>
      </c>
      <c r="L48" s="52"/>
      <c r="M48" s="50"/>
      <c r="N48" s="51"/>
      <c r="O48" s="941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9"/>
    </row>
    <row r="49" spans="1:57" s="90" customFormat="1" x14ac:dyDescent="0.2">
      <c r="A49" s="717"/>
      <c r="B49" s="701"/>
      <c r="C49" s="169" t="s">
        <v>415</v>
      </c>
      <c r="D49" s="189">
        <v>2019</v>
      </c>
      <c r="E49" s="188">
        <f>F49</f>
        <v>3.7999999999999999E-2</v>
      </c>
      <c r="F49" s="188">
        <v>3.7999999999999999E-2</v>
      </c>
      <c r="G49" s="188">
        <v>0</v>
      </c>
      <c r="H49" s="188">
        <v>0</v>
      </c>
      <c r="I49" s="188">
        <v>0</v>
      </c>
      <c r="J49" s="188">
        <v>0</v>
      </c>
      <c r="K49" s="261">
        <f t="shared" si="2"/>
        <v>3.7999999999999999E-2</v>
      </c>
      <c r="L49" s="52"/>
      <c r="M49" s="50"/>
      <c r="N49" s="51"/>
      <c r="O49" s="941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9"/>
    </row>
    <row r="50" spans="1:57" s="90" customFormat="1" x14ac:dyDescent="0.2">
      <c r="A50" s="717"/>
      <c r="B50" s="701"/>
      <c r="C50" s="678" t="s">
        <v>889</v>
      </c>
      <c r="D50" s="189">
        <v>2020</v>
      </c>
      <c r="E50" s="188">
        <f t="shared" ref="E50:E60" si="20">F50</f>
        <v>3.7999999999999999E-2</v>
      </c>
      <c r="F50" s="188">
        <v>3.7999999999999999E-2</v>
      </c>
      <c r="G50" s="188">
        <v>0</v>
      </c>
      <c r="H50" s="188">
        <v>0</v>
      </c>
      <c r="I50" s="188">
        <v>0</v>
      </c>
      <c r="J50" s="188">
        <v>0</v>
      </c>
      <c r="K50" s="261">
        <f t="shared" si="2"/>
        <v>3.7999999999999999E-2</v>
      </c>
      <c r="L50" s="52"/>
      <c r="M50" s="50"/>
      <c r="N50" s="51"/>
      <c r="O50" s="941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9"/>
    </row>
    <row r="51" spans="1:57" s="90" customFormat="1" x14ac:dyDescent="0.2">
      <c r="A51" s="717"/>
      <c r="B51" s="701"/>
      <c r="C51" s="678"/>
      <c r="D51" s="189">
        <v>2021</v>
      </c>
      <c r="E51" s="188">
        <f t="shared" si="20"/>
        <v>3.7999999999999999E-2</v>
      </c>
      <c r="F51" s="188">
        <v>3.7999999999999999E-2</v>
      </c>
      <c r="G51" s="188">
        <v>0</v>
      </c>
      <c r="H51" s="188">
        <v>0</v>
      </c>
      <c r="I51" s="188">
        <v>0</v>
      </c>
      <c r="J51" s="188">
        <v>0</v>
      </c>
      <c r="K51" s="261">
        <f t="shared" si="2"/>
        <v>3.7999999999999999E-2</v>
      </c>
      <c r="L51" s="52"/>
      <c r="M51" s="50"/>
      <c r="N51" s="51"/>
      <c r="O51" s="941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9"/>
    </row>
    <row r="52" spans="1:57" s="90" customFormat="1" ht="14.25" customHeight="1" x14ac:dyDescent="0.2">
      <c r="A52" s="717"/>
      <c r="B52" s="701"/>
      <c r="C52" s="678"/>
      <c r="D52" s="189">
        <v>2022</v>
      </c>
      <c r="E52" s="188">
        <f t="shared" si="20"/>
        <v>3.7999999999999999E-2</v>
      </c>
      <c r="F52" s="188">
        <v>3.7999999999999999E-2</v>
      </c>
      <c r="G52" s="188">
        <v>0</v>
      </c>
      <c r="H52" s="188">
        <v>0</v>
      </c>
      <c r="I52" s="188">
        <v>0</v>
      </c>
      <c r="J52" s="188">
        <v>0</v>
      </c>
      <c r="K52" s="261">
        <f t="shared" si="2"/>
        <v>3.7999999999999999E-2</v>
      </c>
      <c r="L52" s="52"/>
      <c r="M52" s="50"/>
      <c r="N52" s="51"/>
      <c r="O52" s="941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9"/>
    </row>
    <row r="53" spans="1:57" s="90" customFormat="1" ht="14.25" customHeight="1" x14ac:dyDescent="0.2">
      <c r="A53" s="717"/>
      <c r="B53" s="701"/>
      <c r="C53" s="678"/>
      <c r="D53" s="189">
        <v>2023</v>
      </c>
      <c r="E53" s="188">
        <f t="shared" si="20"/>
        <v>3.7999999999999999E-2</v>
      </c>
      <c r="F53" s="188">
        <v>3.7999999999999999E-2</v>
      </c>
      <c r="G53" s="188">
        <v>0</v>
      </c>
      <c r="H53" s="188">
        <v>0</v>
      </c>
      <c r="I53" s="188">
        <v>0</v>
      </c>
      <c r="J53" s="188">
        <v>0</v>
      </c>
      <c r="K53" s="261">
        <f t="shared" si="2"/>
        <v>3.7999999999999999E-2</v>
      </c>
      <c r="L53" s="52"/>
      <c r="M53" s="50"/>
      <c r="N53" s="51"/>
      <c r="O53" s="941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9"/>
    </row>
    <row r="54" spans="1:57" s="90" customFormat="1" ht="14.25" customHeight="1" x14ac:dyDescent="0.2">
      <c r="A54" s="717"/>
      <c r="B54" s="701"/>
      <c r="C54" s="678"/>
      <c r="D54" s="189">
        <v>2024</v>
      </c>
      <c r="E54" s="188">
        <f t="shared" si="20"/>
        <v>3.7999999999999999E-2</v>
      </c>
      <c r="F54" s="188">
        <v>3.7999999999999999E-2</v>
      </c>
      <c r="G54" s="188">
        <v>0</v>
      </c>
      <c r="H54" s="188">
        <v>0</v>
      </c>
      <c r="I54" s="188">
        <v>0</v>
      </c>
      <c r="J54" s="188">
        <v>0</v>
      </c>
      <c r="K54" s="261">
        <f t="shared" si="2"/>
        <v>3.7999999999999999E-2</v>
      </c>
      <c r="L54" s="52"/>
      <c r="M54" s="50"/>
      <c r="N54" s="51"/>
      <c r="O54" s="941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9"/>
    </row>
    <row r="55" spans="1:57" s="90" customFormat="1" ht="14.25" customHeight="1" x14ac:dyDescent="0.2">
      <c r="A55" s="717"/>
      <c r="B55" s="701"/>
      <c r="C55" s="678"/>
      <c r="D55" s="189">
        <v>2025</v>
      </c>
      <c r="E55" s="188">
        <f t="shared" si="20"/>
        <v>3.7999999999999999E-2</v>
      </c>
      <c r="F55" s="188">
        <v>3.7999999999999999E-2</v>
      </c>
      <c r="G55" s="188">
        <v>0</v>
      </c>
      <c r="H55" s="188">
        <v>0</v>
      </c>
      <c r="I55" s="188">
        <v>0</v>
      </c>
      <c r="J55" s="188">
        <v>0</v>
      </c>
      <c r="K55" s="261">
        <f t="shared" si="2"/>
        <v>3.7999999999999999E-2</v>
      </c>
      <c r="L55" s="52"/>
      <c r="M55" s="50"/>
      <c r="N55" s="51"/>
      <c r="O55" s="941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9"/>
    </row>
    <row r="56" spans="1:57" s="90" customFormat="1" ht="16.5" customHeight="1" x14ac:dyDescent="0.2">
      <c r="A56" s="717"/>
      <c r="B56" s="701"/>
      <c r="C56" s="678" t="s">
        <v>888</v>
      </c>
      <c r="D56" s="189">
        <v>2026</v>
      </c>
      <c r="E56" s="188">
        <f t="shared" si="20"/>
        <v>3.7999999999999999E-2</v>
      </c>
      <c r="F56" s="188">
        <v>3.7999999999999999E-2</v>
      </c>
      <c r="G56" s="188">
        <v>0</v>
      </c>
      <c r="H56" s="188">
        <v>0</v>
      </c>
      <c r="I56" s="188">
        <v>0</v>
      </c>
      <c r="J56" s="188">
        <v>0</v>
      </c>
      <c r="K56" s="261">
        <f t="shared" si="2"/>
        <v>3.7999999999999999E-2</v>
      </c>
      <c r="L56" s="52"/>
      <c r="M56" s="50"/>
      <c r="N56" s="51"/>
      <c r="O56" s="941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9"/>
    </row>
    <row r="57" spans="1:57" s="90" customFormat="1" x14ac:dyDescent="0.2">
      <c r="A57" s="717"/>
      <c r="B57" s="701"/>
      <c r="C57" s="678"/>
      <c r="D57" s="189">
        <v>2027</v>
      </c>
      <c r="E57" s="188">
        <f t="shared" si="20"/>
        <v>3.7999999999999999E-2</v>
      </c>
      <c r="F57" s="188">
        <v>3.7999999999999999E-2</v>
      </c>
      <c r="G57" s="188">
        <v>0</v>
      </c>
      <c r="H57" s="188">
        <v>0</v>
      </c>
      <c r="I57" s="188">
        <v>0</v>
      </c>
      <c r="J57" s="188">
        <v>0</v>
      </c>
      <c r="K57" s="261">
        <f t="shared" si="2"/>
        <v>3.7999999999999999E-2</v>
      </c>
      <c r="L57" s="52"/>
      <c r="M57" s="50"/>
      <c r="N57" s="51"/>
      <c r="O57" s="941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9"/>
    </row>
    <row r="58" spans="1:57" s="90" customFormat="1" ht="16.5" customHeight="1" x14ac:dyDescent="0.2">
      <c r="A58" s="717"/>
      <c r="B58" s="701"/>
      <c r="C58" s="678"/>
      <c r="D58" s="189">
        <v>2028</v>
      </c>
      <c r="E58" s="188">
        <f t="shared" si="20"/>
        <v>3.7999999999999999E-2</v>
      </c>
      <c r="F58" s="188">
        <v>3.7999999999999999E-2</v>
      </c>
      <c r="G58" s="188">
        <v>0</v>
      </c>
      <c r="H58" s="188">
        <v>0</v>
      </c>
      <c r="I58" s="188">
        <v>0</v>
      </c>
      <c r="J58" s="188">
        <v>0</v>
      </c>
      <c r="K58" s="261">
        <f t="shared" si="2"/>
        <v>3.7999999999999999E-2</v>
      </c>
      <c r="L58" s="52"/>
      <c r="M58" s="50"/>
      <c r="N58" s="51"/>
      <c r="O58" s="941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9"/>
    </row>
    <row r="59" spans="1:57" s="90" customFormat="1" ht="16.5" customHeight="1" x14ac:dyDescent="0.2">
      <c r="A59" s="717"/>
      <c r="B59" s="701"/>
      <c r="C59" s="678"/>
      <c r="D59" s="189">
        <v>2029</v>
      </c>
      <c r="E59" s="188">
        <f t="shared" si="20"/>
        <v>3.7999999999999999E-2</v>
      </c>
      <c r="F59" s="188">
        <v>3.7999999999999999E-2</v>
      </c>
      <c r="G59" s="188">
        <v>0</v>
      </c>
      <c r="H59" s="188">
        <v>0</v>
      </c>
      <c r="I59" s="188">
        <v>0</v>
      </c>
      <c r="J59" s="188">
        <v>0</v>
      </c>
      <c r="K59" s="261">
        <f t="shared" si="2"/>
        <v>3.7999999999999999E-2</v>
      </c>
      <c r="L59" s="52"/>
      <c r="M59" s="50"/>
      <c r="N59" s="51"/>
      <c r="O59" s="941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9"/>
    </row>
    <row r="60" spans="1:57" s="108" customFormat="1" ht="16.5" customHeight="1" x14ac:dyDescent="0.2">
      <c r="A60" s="717"/>
      <c r="B60" s="701"/>
      <c r="C60" s="678"/>
      <c r="D60" s="197">
        <v>2030</v>
      </c>
      <c r="E60" s="144">
        <f t="shared" si="20"/>
        <v>3.7999999999999999E-2</v>
      </c>
      <c r="F60" s="144">
        <v>3.7999999999999999E-2</v>
      </c>
      <c r="G60" s="144">
        <v>0</v>
      </c>
      <c r="H60" s="144">
        <v>0</v>
      </c>
      <c r="I60" s="144">
        <v>0</v>
      </c>
      <c r="J60" s="144">
        <v>0</v>
      </c>
      <c r="K60" s="261">
        <f t="shared" si="2"/>
        <v>3.7999999999999999E-2</v>
      </c>
      <c r="L60" s="106"/>
      <c r="M60" s="101"/>
      <c r="N60" s="63"/>
      <c r="O60" s="942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107"/>
    </row>
    <row r="61" spans="1:57" s="108" customFormat="1" ht="16.5" customHeight="1" x14ac:dyDescent="0.2">
      <c r="A61" s="662" t="s">
        <v>855</v>
      </c>
      <c r="B61" s="138"/>
      <c r="C61" s="255"/>
      <c r="D61" s="236" t="s">
        <v>198</v>
      </c>
      <c r="E61" s="159">
        <f>SUM(E62:E73)</f>
        <v>33.577100000000002</v>
      </c>
      <c r="F61" s="159">
        <f>SUM(F62:F73)</f>
        <v>33.577100000000002</v>
      </c>
      <c r="G61" s="159">
        <f t="shared" ref="G61:J61" si="21">SUM(G62:G73)</f>
        <v>0</v>
      </c>
      <c r="H61" s="159">
        <f t="shared" si="21"/>
        <v>0</v>
      </c>
      <c r="I61" s="159">
        <f t="shared" si="21"/>
        <v>0</v>
      </c>
      <c r="J61" s="159">
        <f t="shared" si="21"/>
        <v>0</v>
      </c>
      <c r="K61" s="261">
        <f t="shared" si="2"/>
        <v>33.577100000000002</v>
      </c>
      <c r="L61" s="106"/>
      <c r="M61" s="101"/>
      <c r="N61" s="63"/>
      <c r="O61" s="631" t="s">
        <v>600</v>
      </c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107"/>
    </row>
    <row r="62" spans="1:57" s="453" customFormat="1" ht="51" x14ac:dyDescent="0.2">
      <c r="A62" s="717"/>
      <c r="B62" s="643" t="s">
        <v>957</v>
      </c>
      <c r="C62" s="364" t="s">
        <v>540</v>
      </c>
      <c r="D62" s="360">
        <v>2019</v>
      </c>
      <c r="E62" s="448">
        <f>F62+G62+H62+I62+J62</f>
        <v>2.1492</v>
      </c>
      <c r="F62" s="448">
        <v>2.1492</v>
      </c>
      <c r="G62" s="448">
        <v>0</v>
      </c>
      <c r="H62" s="448">
        <v>0</v>
      </c>
      <c r="I62" s="448">
        <v>0</v>
      </c>
      <c r="J62" s="448">
        <v>0</v>
      </c>
      <c r="K62" s="325">
        <f t="shared" si="2"/>
        <v>2.1492</v>
      </c>
      <c r="L62" s="449"/>
      <c r="M62" s="450"/>
      <c r="N62" s="424"/>
      <c r="O62" s="648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2"/>
    </row>
    <row r="63" spans="1:57" s="403" customFormat="1" ht="16.5" customHeight="1" x14ac:dyDescent="0.2">
      <c r="A63" s="717"/>
      <c r="B63" s="940"/>
      <c r="C63" s="678" t="s">
        <v>958</v>
      </c>
      <c r="D63" s="397">
        <v>2020</v>
      </c>
      <c r="E63" s="398">
        <f t="shared" ref="E63:E73" si="22">F63+G63+H63+I63+J63</f>
        <v>1.2977000000000001</v>
      </c>
      <c r="F63" s="398">
        <v>1.2977000000000001</v>
      </c>
      <c r="G63" s="398">
        <v>0</v>
      </c>
      <c r="H63" s="398">
        <v>0</v>
      </c>
      <c r="I63" s="398">
        <v>0</v>
      </c>
      <c r="J63" s="398">
        <v>0</v>
      </c>
      <c r="K63" s="136">
        <f t="shared" si="2"/>
        <v>1.2977000000000001</v>
      </c>
      <c r="L63" s="399"/>
      <c r="M63" s="400"/>
      <c r="N63" s="135"/>
      <c r="O63" s="648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2"/>
    </row>
    <row r="64" spans="1:57" s="403" customFormat="1" ht="16.5" customHeight="1" x14ac:dyDescent="0.2">
      <c r="A64" s="717"/>
      <c r="B64" s="940"/>
      <c r="C64" s="678"/>
      <c r="D64" s="397">
        <v>2021</v>
      </c>
      <c r="E64" s="398">
        <f t="shared" si="22"/>
        <v>2.5042</v>
      </c>
      <c r="F64" s="398">
        <v>2.5042</v>
      </c>
      <c r="G64" s="398">
        <v>0</v>
      </c>
      <c r="H64" s="398">
        <v>0</v>
      </c>
      <c r="I64" s="398">
        <v>0</v>
      </c>
      <c r="J64" s="398">
        <v>0</v>
      </c>
      <c r="K64" s="136">
        <f t="shared" si="2"/>
        <v>2.5042</v>
      </c>
      <c r="L64" s="399"/>
      <c r="M64" s="400"/>
      <c r="N64" s="135"/>
      <c r="O64" s="648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2"/>
    </row>
    <row r="65" spans="1:57" s="403" customFormat="1" ht="16.5" customHeight="1" x14ac:dyDescent="0.2">
      <c r="A65" s="717"/>
      <c r="B65" s="940"/>
      <c r="C65" s="678"/>
      <c r="D65" s="397">
        <v>2022</v>
      </c>
      <c r="E65" s="398">
        <f t="shared" si="22"/>
        <v>2.5043000000000002</v>
      </c>
      <c r="F65" s="398">
        <v>2.5043000000000002</v>
      </c>
      <c r="G65" s="398">
        <v>0</v>
      </c>
      <c r="H65" s="398">
        <v>0</v>
      </c>
      <c r="I65" s="398">
        <v>0</v>
      </c>
      <c r="J65" s="398">
        <v>0</v>
      </c>
      <c r="K65" s="136">
        <f t="shared" si="2"/>
        <v>2.5043000000000002</v>
      </c>
      <c r="L65" s="399"/>
      <c r="M65" s="400"/>
      <c r="N65" s="135"/>
      <c r="O65" s="648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401"/>
      <c r="BA65" s="401"/>
      <c r="BB65" s="401"/>
      <c r="BC65" s="401"/>
      <c r="BD65" s="401"/>
      <c r="BE65" s="402"/>
    </row>
    <row r="66" spans="1:57" s="108" customFormat="1" ht="16.5" customHeight="1" x14ac:dyDescent="0.2">
      <c r="A66" s="717"/>
      <c r="B66" s="940"/>
      <c r="C66" s="678"/>
      <c r="D66" s="197">
        <v>2023</v>
      </c>
      <c r="E66" s="144">
        <f t="shared" si="22"/>
        <v>5.4172000000000002</v>
      </c>
      <c r="F66" s="144">
        <v>5.4172000000000002</v>
      </c>
      <c r="G66" s="144">
        <v>0</v>
      </c>
      <c r="H66" s="144">
        <v>0</v>
      </c>
      <c r="I66" s="144">
        <v>0</v>
      </c>
      <c r="J66" s="144">
        <v>0</v>
      </c>
      <c r="K66" s="261">
        <f t="shared" si="2"/>
        <v>5.4172000000000002</v>
      </c>
      <c r="L66" s="106"/>
      <c r="M66" s="101"/>
      <c r="N66" s="63"/>
      <c r="O66" s="64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107"/>
    </row>
    <row r="67" spans="1:57" s="108" customFormat="1" ht="16.5" customHeight="1" x14ac:dyDescent="0.2">
      <c r="A67" s="717"/>
      <c r="B67" s="940"/>
      <c r="C67" s="678"/>
      <c r="D67" s="197">
        <v>2024</v>
      </c>
      <c r="E67" s="144">
        <f t="shared" si="22"/>
        <v>5.6338999999999997</v>
      </c>
      <c r="F67" s="144">
        <v>5.6338999999999997</v>
      </c>
      <c r="G67" s="144">
        <v>0</v>
      </c>
      <c r="H67" s="144">
        <v>0</v>
      </c>
      <c r="I67" s="144">
        <v>0</v>
      </c>
      <c r="J67" s="144">
        <v>0</v>
      </c>
      <c r="K67" s="261">
        <f t="shared" si="2"/>
        <v>5.6338999999999997</v>
      </c>
      <c r="L67" s="106"/>
      <c r="M67" s="101"/>
      <c r="N67" s="63"/>
      <c r="O67" s="64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107"/>
    </row>
    <row r="68" spans="1:57" s="108" customFormat="1" ht="16.5" customHeight="1" x14ac:dyDescent="0.2">
      <c r="A68" s="717"/>
      <c r="B68" s="940"/>
      <c r="C68" s="678"/>
      <c r="D68" s="197">
        <v>2025</v>
      </c>
      <c r="E68" s="144">
        <f t="shared" si="22"/>
        <v>5.6985999999999999</v>
      </c>
      <c r="F68" s="144">
        <v>5.6985999999999999</v>
      </c>
      <c r="G68" s="144">
        <v>0</v>
      </c>
      <c r="H68" s="144">
        <v>0</v>
      </c>
      <c r="I68" s="144">
        <v>0</v>
      </c>
      <c r="J68" s="144">
        <v>0</v>
      </c>
      <c r="K68" s="261">
        <f t="shared" si="2"/>
        <v>5.6985999999999999</v>
      </c>
      <c r="L68" s="106"/>
      <c r="M68" s="101"/>
      <c r="N68" s="63"/>
      <c r="O68" s="64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107"/>
    </row>
    <row r="69" spans="1:57" s="108" customFormat="1" ht="16.5" customHeight="1" x14ac:dyDescent="0.2">
      <c r="A69" s="717"/>
      <c r="B69" s="940"/>
      <c r="C69" s="648" t="s">
        <v>864</v>
      </c>
      <c r="D69" s="197">
        <v>2026</v>
      </c>
      <c r="E69" s="144">
        <f t="shared" si="22"/>
        <v>1.2012</v>
      </c>
      <c r="F69" s="144">
        <v>1.2012</v>
      </c>
      <c r="G69" s="144">
        <v>0</v>
      </c>
      <c r="H69" s="144">
        <v>0</v>
      </c>
      <c r="I69" s="144">
        <v>0</v>
      </c>
      <c r="J69" s="144">
        <v>0</v>
      </c>
      <c r="K69" s="261">
        <f t="shared" si="2"/>
        <v>1.2012</v>
      </c>
      <c r="L69" s="106"/>
      <c r="M69" s="101"/>
      <c r="N69" s="63"/>
      <c r="O69" s="64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107"/>
    </row>
    <row r="70" spans="1:57" s="108" customFormat="1" ht="16.5" customHeight="1" x14ac:dyDescent="0.2">
      <c r="A70" s="717"/>
      <c r="B70" s="940"/>
      <c r="C70" s="648"/>
      <c r="D70" s="197">
        <v>2027</v>
      </c>
      <c r="E70" s="144">
        <f t="shared" si="22"/>
        <v>2.1476000000000002</v>
      </c>
      <c r="F70" s="144">
        <v>2.1476000000000002</v>
      </c>
      <c r="G70" s="144">
        <v>0</v>
      </c>
      <c r="H70" s="144">
        <v>0</v>
      </c>
      <c r="I70" s="144">
        <v>0</v>
      </c>
      <c r="J70" s="144">
        <v>0</v>
      </c>
      <c r="K70" s="261">
        <f t="shared" si="2"/>
        <v>2.1476000000000002</v>
      </c>
      <c r="L70" s="106"/>
      <c r="M70" s="101"/>
      <c r="N70" s="63"/>
      <c r="O70" s="64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107"/>
    </row>
    <row r="71" spans="1:57" s="108" customFormat="1" ht="16.5" customHeight="1" x14ac:dyDescent="0.2">
      <c r="A71" s="717"/>
      <c r="B71" s="940"/>
      <c r="C71" s="648"/>
      <c r="D71" s="197">
        <v>2028</v>
      </c>
      <c r="E71" s="144">
        <f t="shared" si="22"/>
        <v>1.6744000000000001</v>
      </c>
      <c r="F71" s="144">
        <v>1.6744000000000001</v>
      </c>
      <c r="G71" s="144">
        <v>0</v>
      </c>
      <c r="H71" s="144">
        <v>0</v>
      </c>
      <c r="I71" s="144">
        <v>0</v>
      </c>
      <c r="J71" s="144">
        <v>0</v>
      </c>
      <c r="K71" s="261">
        <f t="shared" si="2"/>
        <v>1.6744000000000001</v>
      </c>
      <c r="L71" s="106"/>
      <c r="M71" s="101"/>
      <c r="N71" s="63"/>
      <c r="O71" s="64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107"/>
    </row>
    <row r="72" spans="1:57" s="108" customFormat="1" ht="16.5" customHeight="1" x14ac:dyDescent="0.2">
      <c r="A72" s="717"/>
      <c r="B72" s="940"/>
      <c r="C72" s="648"/>
      <c r="D72" s="197">
        <v>2029</v>
      </c>
      <c r="E72" s="144">
        <f t="shared" si="22"/>
        <v>1.2012</v>
      </c>
      <c r="F72" s="144">
        <v>1.2012</v>
      </c>
      <c r="G72" s="144">
        <v>0</v>
      </c>
      <c r="H72" s="144">
        <v>0</v>
      </c>
      <c r="I72" s="144">
        <v>0</v>
      </c>
      <c r="J72" s="144">
        <v>0</v>
      </c>
      <c r="K72" s="261">
        <f t="shared" si="2"/>
        <v>1.2012</v>
      </c>
      <c r="L72" s="106"/>
      <c r="M72" s="101"/>
      <c r="N72" s="63"/>
      <c r="O72" s="64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107"/>
    </row>
    <row r="73" spans="1:57" s="90" customFormat="1" ht="16.5" customHeight="1" x14ac:dyDescent="0.2">
      <c r="A73" s="717"/>
      <c r="B73" s="644"/>
      <c r="C73" s="632"/>
      <c r="D73" s="189">
        <v>2030</v>
      </c>
      <c r="E73" s="144">
        <f t="shared" si="22"/>
        <v>2.1476000000000002</v>
      </c>
      <c r="F73" s="188">
        <v>2.1476000000000002</v>
      </c>
      <c r="G73" s="188">
        <v>0</v>
      </c>
      <c r="H73" s="188">
        <v>0</v>
      </c>
      <c r="I73" s="188">
        <v>0</v>
      </c>
      <c r="J73" s="188">
        <v>0</v>
      </c>
      <c r="K73" s="261">
        <f t="shared" si="2"/>
        <v>2.1476000000000002</v>
      </c>
      <c r="L73" s="218"/>
      <c r="M73" s="49"/>
      <c r="N73" s="64"/>
      <c r="O73" s="632"/>
    </row>
    <row r="74" spans="1:57" s="202" customFormat="1" x14ac:dyDescent="0.2">
      <c r="A74" s="731" t="s">
        <v>603</v>
      </c>
      <c r="B74" s="649" t="s">
        <v>200</v>
      </c>
      <c r="C74" s="649"/>
      <c r="D74" s="59" t="s">
        <v>198</v>
      </c>
      <c r="E74" s="47">
        <f t="shared" ref="E74:J74" si="23">SUM(E75:E86)</f>
        <v>1992.6625999999999</v>
      </c>
      <c r="F74" s="96">
        <f t="shared" si="23"/>
        <v>216.8749</v>
      </c>
      <c r="G74" s="96">
        <f t="shared" si="23"/>
        <v>187.14249999999998</v>
      </c>
      <c r="H74" s="96">
        <f t="shared" si="23"/>
        <v>1588.6451999999999</v>
      </c>
      <c r="I74" s="96">
        <f t="shared" si="23"/>
        <v>0</v>
      </c>
      <c r="J74" s="96">
        <f t="shared" si="23"/>
        <v>0</v>
      </c>
      <c r="K74" s="261">
        <f t="shared" ref="K74:K140" si="24">F74+G74+H74+I74+J74</f>
        <v>1992.6625999999999</v>
      </c>
      <c r="L74" s="55"/>
      <c r="M74" s="198"/>
      <c r="N74" s="199"/>
      <c r="O74" s="200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201"/>
    </row>
    <row r="75" spans="1:57" s="90" customFormat="1" ht="13.5" customHeight="1" x14ac:dyDescent="0.2">
      <c r="A75" s="782"/>
      <c r="B75" s="701"/>
      <c r="C75" s="701"/>
      <c r="D75" s="46">
        <v>2019</v>
      </c>
      <c r="E75" s="47">
        <f>E91+E144+E149+E195+E197+E223+E225+E232+E235</f>
        <v>212.92810000000003</v>
      </c>
      <c r="F75" s="47">
        <f t="shared" ref="F75:J75" si="25">F91+F144+F149+F195+F197+F223+F225+F232+F235</f>
        <v>34.087400000000002</v>
      </c>
      <c r="G75" s="47">
        <f t="shared" si="25"/>
        <v>0</v>
      </c>
      <c r="H75" s="47">
        <f t="shared" si="25"/>
        <v>178.84070000000003</v>
      </c>
      <c r="I75" s="47">
        <f t="shared" si="25"/>
        <v>0</v>
      </c>
      <c r="J75" s="47">
        <f t="shared" si="25"/>
        <v>0</v>
      </c>
      <c r="K75" s="261">
        <f t="shared" si="24"/>
        <v>212.92810000000003</v>
      </c>
      <c r="L75" s="52"/>
      <c r="M75" s="50"/>
      <c r="N75" s="51"/>
      <c r="O75" s="49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9"/>
    </row>
    <row r="76" spans="1:57" s="90" customFormat="1" ht="13.5" customHeight="1" x14ac:dyDescent="0.2">
      <c r="A76" s="782"/>
      <c r="B76" s="701"/>
      <c r="C76" s="701"/>
      <c r="D76" s="46">
        <v>2020</v>
      </c>
      <c r="E76" s="47">
        <f>E92+E125+E150+E159+E162+E165+E168+E171+E192+E226+E233+E237+E239+E241+E247+E252</f>
        <v>477.02170000000001</v>
      </c>
      <c r="F76" s="47">
        <f t="shared" ref="F76:J76" si="26">F92+F125+F150+F159+F162+F165+F168+F171+F192+F226+F233+F237+F239+F241+F247+F252</f>
        <v>31.328599999999998</v>
      </c>
      <c r="G76" s="47">
        <f t="shared" si="26"/>
        <v>54.491300000000003</v>
      </c>
      <c r="H76" s="47">
        <f t="shared" si="26"/>
        <v>391.20179999999999</v>
      </c>
      <c r="I76" s="47">
        <f t="shared" si="26"/>
        <v>0</v>
      </c>
      <c r="J76" s="47">
        <f t="shared" si="26"/>
        <v>0</v>
      </c>
      <c r="K76" s="261">
        <f t="shared" si="24"/>
        <v>477.02170000000001</v>
      </c>
      <c r="L76" s="52"/>
      <c r="M76" s="50"/>
      <c r="N76" s="51"/>
      <c r="O76" s="49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9"/>
    </row>
    <row r="77" spans="1:57" s="90" customFormat="1" ht="13.5" customHeight="1" x14ac:dyDescent="0.2">
      <c r="A77" s="782"/>
      <c r="B77" s="701"/>
      <c r="C77" s="701"/>
      <c r="D77" s="46">
        <v>2021</v>
      </c>
      <c r="E77" s="47">
        <f>E93+E115+E126+E151+E193+E253</f>
        <v>186.01130000000001</v>
      </c>
      <c r="F77" s="47">
        <f t="shared" ref="F77:J77" si="27">F93+F115+F126+F151+F193+F253</f>
        <v>7.0453000000000001</v>
      </c>
      <c r="G77" s="47">
        <f t="shared" si="27"/>
        <v>132.35929999999999</v>
      </c>
      <c r="H77" s="47">
        <f t="shared" si="27"/>
        <v>46.606700000000004</v>
      </c>
      <c r="I77" s="47">
        <f t="shared" si="27"/>
        <v>0</v>
      </c>
      <c r="J77" s="47">
        <f t="shared" si="27"/>
        <v>0</v>
      </c>
      <c r="K77" s="261">
        <f t="shared" si="24"/>
        <v>186.01130000000001</v>
      </c>
      <c r="L77" s="52"/>
      <c r="M77" s="50"/>
      <c r="N77" s="51"/>
      <c r="O77" s="49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9"/>
    </row>
    <row r="78" spans="1:57" s="90" customFormat="1" ht="13.5" customHeight="1" x14ac:dyDescent="0.2">
      <c r="A78" s="782"/>
      <c r="B78" s="701"/>
      <c r="C78" s="701"/>
      <c r="D78" s="46">
        <v>2022</v>
      </c>
      <c r="E78" s="47">
        <f>E94+E110+E127+E250+E254</f>
        <v>7.7050999999999998</v>
      </c>
      <c r="F78" s="47">
        <f t="shared" ref="F78:J78" si="28">F94+F110+F127+F250+F254</f>
        <v>1.0173000000000001</v>
      </c>
      <c r="G78" s="47">
        <f t="shared" si="28"/>
        <v>0.29189999999999999</v>
      </c>
      <c r="H78" s="47">
        <f t="shared" si="28"/>
        <v>6.3959000000000001</v>
      </c>
      <c r="I78" s="47">
        <f t="shared" si="28"/>
        <v>0</v>
      </c>
      <c r="J78" s="47">
        <f t="shared" si="28"/>
        <v>0</v>
      </c>
      <c r="K78" s="261">
        <f t="shared" si="24"/>
        <v>7.7050999999999998</v>
      </c>
      <c r="L78" s="52"/>
      <c r="M78" s="50"/>
      <c r="N78" s="51"/>
      <c r="O78" s="49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9"/>
    </row>
    <row r="79" spans="1:57" s="90" customFormat="1" ht="13.5" customHeight="1" x14ac:dyDescent="0.2">
      <c r="A79" s="782"/>
      <c r="B79" s="701"/>
      <c r="C79" s="701"/>
      <c r="D79" s="46">
        <v>2023</v>
      </c>
      <c r="E79" s="47">
        <f>E185</f>
        <v>102.9495</v>
      </c>
      <c r="F79" s="47">
        <f t="shared" ref="F79:K79" si="29">F185</f>
        <v>5.1475</v>
      </c>
      <c r="G79" s="47">
        <f t="shared" si="29"/>
        <v>0</v>
      </c>
      <c r="H79" s="47">
        <f t="shared" si="29"/>
        <v>97.802000000000007</v>
      </c>
      <c r="I79" s="47">
        <f t="shared" si="29"/>
        <v>0</v>
      </c>
      <c r="J79" s="47">
        <f t="shared" si="29"/>
        <v>0</v>
      </c>
      <c r="K79" s="47">
        <f t="shared" si="29"/>
        <v>102.9495</v>
      </c>
      <c r="L79" s="47"/>
      <c r="M79" s="50"/>
      <c r="N79" s="51"/>
      <c r="O79" s="49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9"/>
    </row>
    <row r="80" spans="1:57" s="90" customFormat="1" ht="13.5" customHeight="1" x14ac:dyDescent="0.2">
      <c r="A80" s="782"/>
      <c r="B80" s="701"/>
      <c r="C80" s="701"/>
      <c r="D80" s="46">
        <v>2024</v>
      </c>
      <c r="E80" s="47">
        <f>E95+E107+E116+E186</f>
        <v>151.773</v>
      </c>
      <c r="F80" s="47">
        <f t="shared" ref="F80:J80" si="30">F95+F107+F116+F186</f>
        <v>9.2729999999999997</v>
      </c>
      <c r="G80" s="47">
        <f t="shared" si="30"/>
        <v>0</v>
      </c>
      <c r="H80" s="47">
        <f t="shared" si="30"/>
        <v>142.5</v>
      </c>
      <c r="I80" s="47">
        <f t="shared" si="30"/>
        <v>0</v>
      </c>
      <c r="J80" s="47">
        <f t="shared" si="30"/>
        <v>0</v>
      </c>
      <c r="K80" s="261">
        <f t="shared" si="24"/>
        <v>151.773</v>
      </c>
      <c r="L80" s="47"/>
      <c r="M80" s="50"/>
      <c r="N80" s="51"/>
      <c r="O80" s="49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9"/>
    </row>
    <row r="81" spans="1:57" s="90" customFormat="1" ht="13.5" customHeight="1" x14ac:dyDescent="0.2">
      <c r="A81" s="782"/>
      <c r="B81" s="701"/>
      <c r="C81" s="701"/>
      <c r="D81" s="46">
        <v>2025</v>
      </c>
      <c r="E81" s="47">
        <f>E187</f>
        <v>28</v>
      </c>
      <c r="F81" s="47">
        <f t="shared" ref="F81:J81" si="31">F187</f>
        <v>1.4</v>
      </c>
      <c r="G81" s="47">
        <f t="shared" si="31"/>
        <v>0</v>
      </c>
      <c r="H81" s="47">
        <f t="shared" si="31"/>
        <v>26.6</v>
      </c>
      <c r="I81" s="47">
        <f t="shared" si="31"/>
        <v>0</v>
      </c>
      <c r="J81" s="47">
        <f t="shared" si="31"/>
        <v>0</v>
      </c>
      <c r="K81" s="261">
        <f t="shared" si="24"/>
        <v>28</v>
      </c>
      <c r="L81" s="47"/>
      <c r="M81" s="50"/>
      <c r="N81" s="51"/>
      <c r="O81" s="49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9"/>
    </row>
    <row r="82" spans="1:57" s="90" customFormat="1" ht="13.5" customHeight="1" x14ac:dyDescent="0.2">
      <c r="A82" s="782"/>
      <c r="B82" s="701"/>
      <c r="C82" s="701"/>
      <c r="D82" s="46">
        <v>2026</v>
      </c>
      <c r="E82" s="47">
        <f>E88+E96+E100+E103+E117+E128+E153+E156+E182+E189+E199+E202+E205+E208+E211+E214+E217+E220+E228+E245+E243</f>
        <v>185.0292</v>
      </c>
      <c r="F82" s="47">
        <f t="shared" ref="F82:J82" si="32">F88+F96+F100+F103+F117+F128+F153+F156+F182+F189+F199+F202+F205+F208+F211+F214+F217+F220+F228+F245+F243</f>
        <v>96.969200000000001</v>
      </c>
      <c r="G82" s="47">
        <f t="shared" si="32"/>
        <v>0</v>
      </c>
      <c r="H82" s="47">
        <f t="shared" si="32"/>
        <v>88.06</v>
      </c>
      <c r="I82" s="47">
        <f t="shared" si="32"/>
        <v>0</v>
      </c>
      <c r="J82" s="47">
        <f t="shared" si="32"/>
        <v>0</v>
      </c>
      <c r="K82" s="261">
        <f t="shared" si="24"/>
        <v>185.0292</v>
      </c>
      <c r="L82" s="52"/>
      <c r="M82" s="50"/>
      <c r="N82" s="51"/>
      <c r="O82" s="49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9"/>
    </row>
    <row r="83" spans="1:57" s="90" customFormat="1" ht="13.5" customHeight="1" x14ac:dyDescent="0.2">
      <c r="A83" s="782"/>
      <c r="B83" s="701"/>
      <c r="C83" s="701"/>
      <c r="D83" s="46">
        <v>2027</v>
      </c>
      <c r="E83" s="47">
        <f>E118+E129+E137+E141+E154+E157+E183+E190+E200+E203+E206+E209+E212+E215+E218+E221+E229</f>
        <v>526.04070000000013</v>
      </c>
      <c r="F83" s="47">
        <f t="shared" ref="F83:J83" si="33">F118+F129+F137+F141+F154+F157+F183+F190+F200+F203+F206+F209+F212+F215+F218+F221+F229</f>
        <v>22.781600000000001</v>
      </c>
      <c r="G83" s="47">
        <f t="shared" si="33"/>
        <v>0</v>
      </c>
      <c r="H83" s="47">
        <f t="shared" si="33"/>
        <v>503.25909999999993</v>
      </c>
      <c r="I83" s="47">
        <f t="shared" si="33"/>
        <v>0</v>
      </c>
      <c r="J83" s="47">
        <f t="shared" si="33"/>
        <v>0</v>
      </c>
      <c r="K83" s="261">
        <f t="shared" si="24"/>
        <v>526.0406999999999</v>
      </c>
      <c r="L83" s="47"/>
      <c r="M83" s="50"/>
      <c r="N83" s="51"/>
      <c r="O83" s="49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9"/>
    </row>
    <row r="84" spans="1:57" s="90" customFormat="1" ht="13.5" customHeight="1" x14ac:dyDescent="0.2">
      <c r="A84" s="782"/>
      <c r="B84" s="701"/>
      <c r="C84" s="701"/>
      <c r="D84" s="46">
        <v>2028</v>
      </c>
      <c r="E84" s="47">
        <f>E97+E108+E130</f>
        <v>112.79999999999998</v>
      </c>
      <c r="F84" s="47">
        <f t="shared" ref="F84:J84" si="34">F97+F108+F130</f>
        <v>5.4209999999999994</v>
      </c>
      <c r="G84" s="47">
        <f t="shared" si="34"/>
        <v>0</v>
      </c>
      <c r="H84" s="47">
        <f t="shared" si="34"/>
        <v>107.37899999999999</v>
      </c>
      <c r="I84" s="47">
        <f t="shared" si="34"/>
        <v>0</v>
      </c>
      <c r="J84" s="47">
        <f t="shared" si="34"/>
        <v>0</v>
      </c>
      <c r="K84" s="261">
        <f t="shared" si="24"/>
        <v>112.79999999999998</v>
      </c>
      <c r="L84" s="47"/>
      <c r="M84" s="50"/>
      <c r="N84" s="51"/>
      <c r="O84" s="49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9"/>
    </row>
    <row r="85" spans="1:57" s="90" customFormat="1" ht="13.5" customHeight="1" x14ac:dyDescent="0.2">
      <c r="A85" s="782"/>
      <c r="B85" s="701"/>
      <c r="C85" s="701"/>
      <c r="D85" s="46">
        <v>2029</v>
      </c>
      <c r="E85" s="47">
        <f>E180</f>
        <v>0</v>
      </c>
      <c r="F85" s="47">
        <f t="shared" ref="F85:J85" si="35">F180</f>
        <v>0</v>
      </c>
      <c r="G85" s="47">
        <f t="shared" si="35"/>
        <v>0</v>
      </c>
      <c r="H85" s="47">
        <f t="shared" si="35"/>
        <v>0</v>
      </c>
      <c r="I85" s="47">
        <f t="shared" si="35"/>
        <v>0</v>
      </c>
      <c r="J85" s="47">
        <f t="shared" si="35"/>
        <v>0</v>
      </c>
      <c r="K85" s="261"/>
      <c r="L85" s="464"/>
      <c r="M85" s="50"/>
      <c r="N85" s="51"/>
      <c r="O85" s="49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9"/>
    </row>
    <row r="86" spans="1:57" s="90" customFormat="1" ht="13.5" customHeight="1" x14ac:dyDescent="0.2">
      <c r="A86" s="939"/>
      <c r="B86" s="702"/>
      <c r="C86" s="702"/>
      <c r="D86" s="46">
        <v>2030</v>
      </c>
      <c r="E86" s="47">
        <f>E89+E98+E101+E104+E109</f>
        <v>2.4039999999999999</v>
      </c>
      <c r="F86" s="47">
        <f t="shared" ref="F86:J86" si="36">F89+F98+F101+F104+F109</f>
        <v>2.4039999999999999</v>
      </c>
      <c r="G86" s="47">
        <f t="shared" si="36"/>
        <v>0</v>
      </c>
      <c r="H86" s="47">
        <f t="shared" si="36"/>
        <v>0</v>
      </c>
      <c r="I86" s="47">
        <f t="shared" si="36"/>
        <v>0</v>
      </c>
      <c r="J86" s="47">
        <f t="shared" si="36"/>
        <v>0</v>
      </c>
      <c r="K86" s="261">
        <f t="shared" si="24"/>
        <v>2.4039999999999999</v>
      </c>
      <c r="L86" s="52"/>
      <c r="M86" s="50"/>
      <c r="N86" s="51"/>
      <c r="O86" s="49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9"/>
    </row>
    <row r="87" spans="1:57" s="48" customFormat="1" ht="44.25" customHeight="1" x14ac:dyDescent="0.2">
      <c r="A87" s="697" t="s">
        <v>374</v>
      </c>
      <c r="B87" s="705" t="s">
        <v>489</v>
      </c>
      <c r="C87" s="154" t="s">
        <v>986</v>
      </c>
      <c r="D87" s="46" t="s">
        <v>198</v>
      </c>
      <c r="E87" s="47">
        <f>E88+E89</f>
        <v>0.2</v>
      </c>
      <c r="F87" s="47">
        <f t="shared" ref="F87:J87" si="37">F88+F89</f>
        <v>0.2</v>
      </c>
      <c r="G87" s="47">
        <f t="shared" si="37"/>
        <v>0</v>
      </c>
      <c r="H87" s="47">
        <f t="shared" si="37"/>
        <v>0</v>
      </c>
      <c r="I87" s="47">
        <f t="shared" si="37"/>
        <v>0</v>
      </c>
      <c r="J87" s="47">
        <f t="shared" si="37"/>
        <v>0</v>
      </c>
      <c r="K87" s="261">
        <f t="shared" si="24"/>
        <v>0.2</v>
      </c>
      <c r="L87" s="205">
        <v>1</v>
      </c>
      <c r="M87" s="50"/>
      <c r="N87" s="51"/>
      <c r="O87" s="765" t="s">
        <v>187</v>
      </c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6"/>
    </row>
    <row r="88" spans="1:57" s="48" customFormat="1" ht="15" customHeight="1" x14ac:dyDescent="0.2">
      <c r="A88" s="698"/>
      <c r="B88" s="735"/>
      <c r="C88" s="192"/>
      <c r="D88" s="46">
        <v>2026</v>
      </c>
      <c r="E88" s="188">
        <f t="shared" ref="E88:E89" si="38">F88+G88+H88+I88+J88</f>
        <v>0.1</v>
      </c>
      <c r="F88" s="188">
        <v>0.1</v>
      </c>
      <c r="G88" s="188">
        <v>0</v>
      </c>
      <c r="H88" s="188">
        <v>0</v>
      </c>
      <c r="I88" s="188">
        <v>0</v>
      </c>
      <c r="J88" s="188">
        <v>0</v>
      </c>
      <c r="K88" s="261">
        <f t="shared" si="24"/>
        <v>0.1</v>
      </c>
      <c r="L88" s="206">
        <v>0.5</v>
      </c>
      <c r="M88" s="50"/>
      <c r="N88" s="51"/>
      <c r="O88" s="766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6"/>
    </row>
    <row r="89" spans="1:57" s="48" customFormat="1" x14ac:dyDescent="0.2">
      <c r="A89" s="699"/>
      <c r="B89" s="770"/>
      <c r="C89" s="248"/>
      <c r="D89" s="46">
        <v>2030</v>
      </c>
      <c r="E89" s="188">
        <f t="shared" si="38"/>
        <v>0.1</v>
      </c>
      <c r="F89" s="188">
        <v>0.1</v>
      </c>
      <c r="G89" s="188">
        <v>0</v>
      </c>
      <c r="H89" s="188">
        <v>0</v>
      </c>
      <c r="I89" s="188">
        <v>0</v>
      </c>
      <c r="J89" s="188">
        <v>0</v>
      </c>
      <c r="K89" s="261">
        <f t="shared" si="24"/>
        <v>0.1</v>
      </c>
      <c r="L89" s="206">
        <v>1</v>
      </c>
      <c r="M89" s="50"/>
      <c r="N89" s="51"/>
      <c r="O89" s="816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6"/>
    </row>
    <row r="90" spans="1:57" s="342" customFormat="1" ht="11.25" customHeight="1" x14ac:dyDescent="0.2">
      <c r="A90" s="697" t="s">
        <v>375</v>
      </c>
      <c r="B90" s="705" t="s">
        <v>490</v>
      </c>
      <c r="C90" s="333"/>
      <c r="D90" s="334" t="s">
        <v>198</v>
      </c>
      <c r="E90" s="335">
        <f>SUM(E92:E98)</f>
        <v>3.3942000000000005</v>
      </c>
      <c r="F90" s="335">
        <f t="shared" ref="F90:J90" si="39">SUM(F92:F98)</f>
        <v>0.80519999999999992</v>
      </c>
      <c r="G90" s="335">
        <f t="shared" si="39"/>
        <v>0</v>
      </c>
      <c r="H90" s="335">
        <f t="shared" si="39"/>
        <v>2.589</v>
      </c>
      <c r="I90" s="335">
        <f t="shared" si="39"/>
        <v>0</v>
      </c>
      <c r="J90" s="335">
        <f t="shared" si="39"/>
        <v>0</v>
      </c>
      <c r="K90" s="336">
        <f t="shared" si="24"/>
        <v>3.3941999999999997</v>
      </c>
      <c r="L90" s="337">
        <v>1</v>
      </c>
      <c r="M90" s="338"/>
      <c r="N90" s="339"/>
      <c r="O90" s="746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1"/>
    </row>
    <row r="91" spans="1:57" s="342" customFormat="1" ht="11.25" customHeight="1" x14ac:dyDescent="0.2">
      <c r="A91" s="698"/>
      <c r="B91" s="706"/>
      <c r="C91" s="343" t="s">
        <v>384</v>
      </c>
      <c r="D91" s="345">
        <v>2019</v>
      </c>
      <c r="E91" s="344">
        <f>F91+G91+H91</f>
        <v>2.7176</v>
      </c>
      <c r="F91" s="344">
        <v>0.3533</v>
      </c>
      <c r="G91" s="344">
        <v>0</v>
      </c>
      <c r="H91" s="344">
        <v>2.3643000000000001</v>
      </c>
      <c r="I91" s="344">
        <v>0</v>
      </c>
      <c r="J91" s="344">
        <v>0</v>
      </c>
      <c r="K91" s="336"/>
      <c r="L91" s="337"/>
      <c r="M91" s="338"/>
      <c r="N91" s="339"/>
      <c r="O91" s="747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1"/>
    </row>
    <row r="92" spans="1:57" s="342" customFormat="1" ht="11.25" customHeight="1" x14ac:dyDescent="0.2">
      <c r="A92" s="698"/>
      <c r="B92" s="706"/>
      <c r="C92" s="945" t="s">
        <v>984</v>
      </c>
      <c r="D92" s="345">
        <v>2020</v>
      </c>
      <c r="E92" s="344">
        <f>F92+G92+H92</f>
        <v>1.8151999999999999</v>
      </c>
      <c r="F92" s="344">
        <v>0.23630000000000001</v>
      </c>
      <c r="G92" s="344">
        <v>0</v>
      </c>
      <c r="H92" s="344">
        <v>1.5789</v>
      </c>
      <c r="I92" s="344">
        <v>0</v>
      </c>
      <c r="J92" s="344">
        <v>0</v>
      </c>
      <c r="K92" s="336"/>
      <c r="L92" s="337"/>
      <c r="M92" s="338"/>
      <c r="N92" s="339"/>
      <c r="O92" s="747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1"/>
    </row>
    <row r="93" spans="1:57" s="342" customFormat="1" ht="12.75" customHeight="1" x14ac:dyDescent="0.2">
      <c r="A93" s="698"/>
      <c r="B93" s="706"/>
      <c r="C93" s="946"/>
      <c r="D93" s="345">
        <v>2021</v>
      </c>
      <c r="E93" s="344">
        <f>F93+G93+H93+I93+J93</f>
        <v>0.58950000000000002</v>
      </c>
      <c r="F93" s="344">
        <v>7.6700000000000004E-2</v>
      </c>
      <c r="G93" s="344">
        <v>0</v>
      </c>
      <c r="H93" s="344">
        <v>0.51280000000000003</v>
      </c>
      <c r="I93" s="344">
        <v>0</v>
      </c>
      <c r="J93" s="344">
        <v>0</v>
      </c>
      <c r="K93" s="336">
        <f t="shared" si="24"/>
        <v>0.58950000000000002</v>
      </c>
      <c r="L93" s="346">
        <v>0.25</v>
      </c>
      <c r="M93" s="338"/>
      <c r="N93" s="339"/>
      <c r="O93" s="701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40"/>
      <c r="BE93" s="341"/>
    </row>
    <row r="94" spans="1:57" s="342" customFormat="1" x14ac:dyDescent="0.2">
      <c r="A94" s="698"/>
      <c r="B94" s="706"/>
      <c r="C94" s="946"/>
      <c r="D94" s="345">
        <v>2022</v>
      </c>
      <c r="E94" s="344">
        <f>F94+G94+H94+I94+J94</f>
        <v>0.58950000000000002</v>
      </c>
      <c r="F94" s="344">
        <v>9.2200000000000004E-2</v>
      </c>
      <c r="G94" s="344">
        <v>0</v>
      </c>
      <c r="H94" s="344">
        <v>0.49730000000000002</v>
      </c>
      <c r="I94" s="344">
        <v>0</v>
      </c>
      <c r="J94" s="344">
        <v>0</v>
      </c>
      <c r="K94" s="336">
        <f t="shared" si="24"/>
        <v>0.58950000000000002</v>
      </c>
      <c r="L94" s="346">
        <v>0.4</v>
      </c>
      <c r="M94" s="338"/>
      <c r="N94" s="339"/>
      <c r="O94" s="701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340"/>
      <c r="BE94" s="341"/>
    </row>
    <row r="95" spans="1:57" s="114" customFormat="1" x14ac:dyDescent="0.2">
      <c r="A95" s="698"/>
      <c r="B95" s="706"/>
      <c r="C95" s="947"/>
      <c r="D95" s="139">
        <v>2024</v>
      </c>
      <c r="E95" s="140">
        <f t="shared" ref="E95:E98" si="40">F95+G95+H95+I95+J95</f>
        <v>0.1</v>
      </c>
      <c r="F95" s="140">
        <v>0.1</v>
      </c>
      <c r="G95" s="140">
        <v>0</v>
      </c>
      <c r="H95" s="140">
        <v>0</v>
      </c>
      <c r="I95" s="140">
        <v>0</v>
      </c>
      <c r="J95" s="140">
        <v>0</v>
      </c>
      <c r="K95" s="347">
        <f t="shared" si="24"/>
        <v>0.1</v>
      </c>
      <c r="L95" s="348">
        <v>0.5</v>
      </c>
      <c r="M95" s="111"/>
      <c r="N95" s="349"/>
      <c r="O95" s="701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3"/>
    </row>
    <row r="96" spans="1:57" s="48" customFormat="1" ht="16.5" customHeight="1" x14ac:dyDescent="0.2">
      <c r="A96" s="698"/>
      <c r="B96" s="706"/>
      <c r="C96" s="631" t="s">
        <v>985</v>
      </c>
      <c r="D96" s="304">
        <v>2026</v>
      </c>
      <c r="E96" s="188">
        <f t="shared" si="40"/>
        <v>0.1</v>
      </c>
      <c r="F96" s="188">
        <v>0.1</v>
      </c>
      <c r="G96" s="188">
        <v>0</v>
      </c>
      <c r="H96" s="188">
        <v>0</v>
      </c>
      <c r="I96" s="188">
        <v>0</v>
      </c>
      <c r="J96" s="188">
        <v>0</v>
      </c>
      <c r="K96" s="261">
        <f t="shared" si="24"/>
        <v>0.1</v>
      </c>
      <c r="L96" s="206">
        <v>0.6</v>
      </c>
      <c r="M96" s="50"/>
      <c r="N96" s="51"/>
      <c r="O96" s="701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6"/>
    </row>
    <row r="97" spans="1:57" s="48" customFormat="1" x14ac:dyDescent="0.2">
      <c r="A97" s="698"/>
      <c r="B97" s="706"/>
      <c r="C97" s="648"/>
      <c r="D97" s="304">
        <v>2028</v>
      </c>
      <c r="E97" s="188">
        <f t="shared" si="40"/>
        <v>0.1</v>
      </c>
      <c r="F97" s="188">
        <v>0.1</v>
      </c>
      <c r="G97" s="188">
        <v>0</v>
      </c>
      <c r="H97" s="188">
        <v>0</v>
      </c>
      <c r="I97" s="188">
        <v>0</v>
      </c>
      <c r="J97" s="188">
        <v>0</v>
      </c>
      <c r="K97" s="261">
        <f t="shared" si="24"/>
        <v>0.1</v>
      </c>
      <c r="L97" s="206">
        <v>0.8</v>
      </c>
      <c r="M97" s="50"/>
      <c r="N97" s="51"/>
      <c r="O97" s="701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6"/>
    </row>
    <row r="98" spans="1:57" s="48" customFormat="1" x14ac:dyDescent="0.2">
      <c r="A98" s="699"/>
      <c r="B98" s="730"/>
      <c r="C98" s="632"/>
      <c r="D98" s="304">
        <v>2030</v>
      </c>
      <c r="E98" s="188">
        <f t="shared" si="40"/>
        <v>0.1</v>
      </c>
      <c r="F98" s="188">
        <v>0.1</v>
      </c>
      <c r="G98" s="188">
        <v>0</v>
      </c>
      <c r="H98" s="188">
        <v>0</v>
      </c>
      <c r="I98" s="188">
        <v>0</v>
      </c>
      <c r="J98" s="188">
        <v>0</v>
      </c>
      <c r="K98" s="261">
        <f t="shared" si="24"/>
        <v>0.1</v>
      </c>
      <c r="L98" s="206">
        <v>1</v>
      </c>
      <c r="M98" s="50"/>
      <c r="N98" s="51"/>
      <c r="O98" s="701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6"/>
    </row>
    <row r="99" spans="1:57" s="48" customFormat="1" ht="12.75" customHeight="1" x14ac:dyDescent="0.2">
      <c r="A99" s="697" t="s">
        <v>376</v>
      </c>
      <c r="B99" s="921" t="s">
        <v>491</v>
      </c>
      <c r="C99" s="137"/>
      <c r="D99" s="46" t="s">
        <v>198</v>
      </c>
      <c r="E99" s="47">
        <f>E100+E101</f>
        <v>0.216</v>
      </c>
      <c r="F99" s="47">
        <f>F100+F101</f>
        <v>0.216</v>
      </c>
      <c r="G99" s="47">
        <f t="shared" ref="G99:J99" si="41">G100+G101</f>
        <v>0</v>
      </c>
      <c r="H99" s="47">
        <f t="shared" si="41"/>
        <v>0</v>
      </c>
      <c r="I99" s="47">
        <f t="shared" si="41"/>
        <v>0</v>
      </c>
      <c r="J99" s="47">
        <f t="shared" si="41"/>
        <v>0</v>
      </c>
      <c r="K99" s="261">
        <f t="shared" si="24"/>
        <v>0.216</v>
      </c>
      <c r="L99" s="205">
        <v>1</v>
      </c>
      <c r="M99" s="50"/>
      <c r="N99" s="51"/>
      <c r="O99" s="701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6"/>
    </row>
    <row r="100" spans="1:57" s="48" customFormat="1" x14ac:dyDescent="0.2">
      <c r="A100" s="698"/>
      <c r="B100" s="922"/>
      <c r="C100" s="631" t="s">
        <v>986</v>
      </c>
      <c r="D100" s="189">
        <v>2026</v>
      </c>
      <c r="E100" s="188">
        <f t="shared" ref="E100:E101" si="42">F100+G100+H100+I100+J100</f>
        <v>0.108</v>
      </c>
      <c r="F100" s="188">
        <v>0.108</v>
      </c>
      <c r="G100" s="188">
        <v>0</v>
      </c>
      <c r="H100" s="188">
        <v>0</v>
      </c>
      <c r="I100" s="188">
        <v>0</v>
      </c>
      <c r="J100" s="188">
        <v>0</v>
      </c>
      <c r="K100" s="261">
        <f t="shared" si="24"/>
        <v>0.108</v>
      </c>
      <c r="L100" s="206">
        <v>0.5</v>
      </c>
      <c r="M100" s="50"/>
      <c r="N100" s="51"/>
      <c r="O100" s="701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6"/>
    </row>
    <row r="101" spans="1:57" s="48" customFormat="1" ht="30" customHeight="1" x14ac:dyDescent="0.2">
      <c r="A101" s="699"/>
      <c r="B101" s="923"/>
      <c r="C101" s="632"/>
      <c r="D101" s="189">
        <v>2030</v>
      </c>
      <c r="E101" s="188">
        <f t="shared" si="42"/>
        <v>0.108</v>
      </c>
      <c r="F101" s="188">
        <v>0.108</v>
      </c>
      <c r="G101" s="188">
        <v>0</v>
      </c>
      <c r="H101" s="188">
        <v>0</v>
      </c>
      <c r="I101" s="188">
        <v>0</v>
      </c>
      <c r="J101" s="188">
        <v>0</v>
      </c>
      <c r="K101" s="261">
        <f t="shared" si="24"/>
        <v>0.108</v>
      </c>
      <c r="L101" s="206">
        <v>1</v>
      </c>
      <c r="M101" s="50"/>
      <c r="N101" s="51"/>
      <c r="O101" s="701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6"/>
    </row>
    <row r="102" spans="1:57" s="48" customFormat="1" x14ac:dyDescent="0.2">
      <c r="A102" s="697" t="s">
        <v>377</v>
      </c>
      <c r="B102" s="736" t="s">
        <v>479</v>
      </c>
      <c r="C102" s="631" t="s">
        <v>987</v>
      </c>
      <c r="D102" s="46" t="s">
        <v>198</v>
      </c>
      <c r="E102" s="47">
        <f>E103+E104</f>
        <v>0.20400000000000001</v>
      </c>
      <c r="F102" s="47">
        <f>F103+F104</f>
        <v>0.20400000000000001</v>
      </c>
      <c r="G102" s="47">
        <f t="shared" ref="G102:J102" si="43">G103+G104</f>
        <v>0</v>
      </c>
      <c r="H102" s="47">
        <f t="shared" si="43"/>
        <v>0</v>
      </c>
      <c r="I102" s="47">
        <f t="shared" si="43"/>
        <v>0</v>
      </c>
      <c r="J102" s="47">
        <f t="shared" si="43"/>
        <v>0</v>
      </c>
      <c r="K102" s="261">
        <f t="shared" si="24"/>
        <v>0.20400000000000001</v>
      </c>
      <c r="L102" s="205">
        <v>1</v>
      </c>
      <c r="M102" s="50"/>
      <c r="N102" s="51"/>
      <c r="O102" s="701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6"/>
    </row>
    <row r="103" spans="1:57" s="48" customFormat="1" x14ac:dyDescent="0.2">
      <c r="A103" s="698"/>
      <c r="B103" s="737"/>
      <c r="C103" s="648"/>
      <c r="D103" s="189">
        <v>2026</v>
      </c>
      <c r="E103" s="188">
        <f t="shared" ref="E103:E104" si="44">F103+G103+H103+I103+J103</f>
        <v>0.108</v>
      </c>
      <c r="F103" s="188">
        <v>0.108</v>
      </c>
      <c r="G103" s="188">
        <v>0</v>
      </c>
      <c r="H103" s="188">
        <v>0</v>
      </c>
      <c r="I103" s="188">
        <v>0</v>
      </c>
      <c r="J103" s="188">
        <v>0</v>
      </c>
      <c r="K103" s="261">
        <f t="shared" si="24"/>
        <v>0.108</v>
      </c>
      <c r="L103" s="206">
        <v>0.5</v>
      </c>
      <c r="M103" s="50"/>
      <c r="N103" s="51"/>
      <c r="O103" s="701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6"/>
    </row>
    <row r="104" spans="1:57" s="48" customFormat="1" ht="54.75" customHeight="1" x14ac:dyDescent="0.2">
      <c r="A104" s="699"/>
      <c r="B104" s="738"/>
      <c r="C104" s="632"/>
      <c r="D104" s="189">
        <v>2030</v>
      </c>
      <c r="E104" s="188">
        <f t="shared" si="44"/>
        <v>9.6000000000000002E-2</v>
      </c>
      <c r="F104" s="188">
        <v>9.6000000000000002E-2</v>
      </c>
      <c r="G104" s="188">
        <v>0</v>
      </c>
      <c r="H104" s="188">
        <v>0</v>
      </c>
      <c r="I104" s="188">
        <v>0</v>
      </c>
      <c r="J104" s="188">
        <v>0</v>
      </c>
      <c r="K104" s="261">
        <f t="shared" si="24"/>
        <v>9.6000000000000002E-2</v>
      </c>
      <c r="L104" s="206">
        <v>1</v>
      </c>
      <c r="M104" s="50"/>
      <c r="N104" s="51"/>
      <c r="O104" s="701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6"/>
    </row>
    <row r="105" spans="1:57" s="48" customFormat="1" ht="12.75" customHeight="1" x14ac:dyDescent="0.2">
      <c r="A105" s="665" t="s">
        <v>406</v>
      </c>
      <c r="B105" s="847" t="s">
        <v>509</v>
      </c>
      <c r="C105" s="728" t="s">
        <v>988</v>
      </c>
      <c r="D105" s="46" t="s">
        <v>198</v>
      </c>
      <c r="E105" s="47">
        <f t="shared" ref="E105:J105" si="45">E106+E107+E108+E113</f>
        <v>5.5</v>
      </c>
      <c r="F105" s="47">
        <f t="shared" si="45"/>
        <v>5.5</v>
      </c>
      <c r="G105" s="47">
        <f t="shared" si="45"/>
        <v>0</v>
      </c>
      <c r="H105" s="47">
        <f t="shared" si="45"/>
        <v>0</v>
      </c>
      <c r="I105" s="47">
        <f t="shared" si="45"/>
        <v>0</v>
      </c>
      <c r="J105" s="47">
        <f t="shared" si="45"/>
        <v>0</v>
      </c>
      <c r="K105" s="261">
        <f t="shared" si="24"/>
        <v>5.5</v>
      </c>
      <c r="L105" s="52"/>
      <c r="M105" s="50"/>
      <c r="N105" s="51"/>
      <c r="O105" s="701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6"/>
    </row>
    <row r="106" spans="1:57" s="48" customFormat="1" ht="12.75" customHeight="1" x14ac:dyDescent="0.2">
      <c r="A106" s="629"/>
      <c r="B106" s="924"/>
      <c r="C106" s="729"/>
      <c r="D106" s="46">
        <v>2022</v>
      </c>
      <c r="E106" s="188">
        <f t="shared" ref="E106:E113" si="46">F106+G106+H106+I106+J106</f>
        <v>0</v>
      </c>
      <c r="F106" s="188">
        <f>F110</f>
        <v>0</v>
      </c>
      <c r="G106" s="188">
        <v>0</v>
      </c>
      <c r="H106" s="188">
        <v>0</v>
      </c>
      <c r="I106" s="188">
        <v>0</v>
      </c>
      <c r="J106" s="188">
        <v>0</v>
      </c>
      <c r="K106" s="261">
        <f t="shared" si="24"/>
        <v>0</v>
      </c>
      <c r="L106" s="53"/>
      <c r="M106" s="50"/>
      <c r="N106" s="51"/>
      <c r="O106" s="701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6"/>
    </row>
    <row r="107" spans="1:57" s="48" customFormat="1" ht="18.75" customHeight="1" x14ac:dyDescent="0.2">
      <c r="A107" s="629"/>
      <c r="B107" s="924"/>
      <c r="C107" s="729"/>
      <c r="D107" s="46">
        <v>2024</v>
      </c>
      <c r="E107" s="188">
        <f t="shared" si="46"/>
        <v>1.5</v>
      </c>
      <c r="F107" s="188">
        <v>1.5</v>
      </c>
      <c r="G107" s="188">
        <v>0</v>
      </c>
      <c r="H107" s="188">
        <v>0</v>
      </c>
      <c r="I107" s="188">
        <v>0</v>
      </c>
      <c r="J107" s="188">
        <v>0</v>
      </c>
      <c r="K107" s="261">
        <f t="shared" si="24"/>
        <v>1.5</v>
      </c>
      <c r="L107" s="53"/>
      <c r="M107" s="50"/>
      <c r="N107" s="51"/>
      <c r="O107" s="701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6"/>
    </row>
    <row r="108" spans="1:57" s="48" customFormat="1" ht="15" customHeight="1" x14ac:dyDescent="0.2">
      <c r="A108" s="629"/>
      <c r="B108" s="924"/>
      <c r="C108" s="192"/>
      <c r="D108" s="46">
        <v>2028</v>
      </c>
      <c r="E108" s="188">
        <f t="shared" si="46"/>
        <v>2</v>
      </c>
      <c r="F108" s="188">
        <v>2</v>
      </c>
      <c r="G108" s="188">
        <v>0</v>
      </c>
      <c r="H108" s="188">
        <v>0</v>
      </c>
      <c r="I108" s="188">
        <v>0</v>
      </c>
      <c r="J108" s="188">
        <v>0</v>
      </c>
      <c r="K108" s="261">
        <f t="shared" si="24"/>
        <v>2</v>
      </c>
      <c r="L108" s="53"/>
      <c r="M108" s="50"/>
      <c r="N108" s="51"/>
      <c r="O108" s="701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6"/>
    </row>
    <row r="109" spans="1:57" s="48" customFormat="1" x14ac:dyDescent="0.2">
      <c r="A109" s="629"/>
      <c r="B109" s="924"/>
      <c r="C109" s="192"/>
      <c r="D109" s="46">
        <v>2030</v>
      </c>
      <c r="E109" s="188">
        <f t="shared" si="46"/>
        <v>2</v>
      </c>
      <c r="F109" s="188">
        <v>2</v>
      </c>
      <c r="G109" s="188">
        <v>0</v>
      </c>
      <c r="H109" s="188">
        <v>0</v>
      </c>
      <c r="I109" s="188">
        <v>0</v>
      </c>
      <c r="J109" s="188">
        <v>0</v>
      </c>
      <c r="K109" s="261">
        <f t="shared" si="24"/>
        <v>2</v>
      </c>
      <c r="L109" s="53"/>
      <c r="M109" s="50"/>
      <c r="N109" s="51"/>
      <c r="O109" s="701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6"/>
    </row>
    <row r="110" spans="1:57" s="48" customFormat="1" ht="27" customHeight="1" x14ac:dyDescent="0.2">
      <c r="A110" s="168" t="s">
        <v>616</v>
      </c>
      <c r="B110" s="208" t="s">
        <v>502</v>
      </c>
      <c r="C110" s="192"/>
      <c r="D110" s="189">
        <v>2022</v>
      </c>
      <c r="E110" s="188">
        <f t="shared" si="46"/>
        <v>0</v>
      </c>
      <c r="F110" s="188">
        <v>0</v>
      </c>
      <c r="G110" s="188">
        <v>0</v>
      </c>
      <c r="H110" s="188">
        <v>0</v>
      </c>
      <c r="I110" s="188">
        <v>0</v>
      </c>
      <c r="J110" s="188">
        <v>0</v>
      </c>
      <c r="K110" s="261">
        <f t="shared" si="24"/>
        <v>0</v>
      </c>
      <c r="L110" s="53" t="s">
        <v>503</v>
      </c>
      <c r="M110" s="50"/>
      <c r="N110" s="51"/>
      <c r="O110" s="701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6"/>
    </row>
    <row r="111" spans="1:57" s="48" customFormat="1" ht="27.75" customHeight="1" x14ac:dyDescent="0.2">
      <c r="A111" s="158" t="s">
        <v>617</v>
      </c>
      <c r="B111" s="209" t="s">
        <v>504</v>
      </c>
      <c r="C111" s="192"/>
      <c r="D111" s="189">
        <v>2024</v>
      </c>
      <c r="E111" s="188">
        <f t="shared" si="46"/>
        <v>1.5</v>
      </c>
      <c r="F111" s="188">
        <v>1.5</v>
      </c>
      <c r="G111" s="188">
        <v>0</v>
      </c>
      <c r="H111" s="188">
        <v>0</v>
      </c>
      <c r="I111" s="188">
        <v>0</v>
      </c>
      <c r="J111" s="188">
        <v>0</v>
      </c>
      <c r="K111" s="261">
        <f t="shared" si="24"/>
        <v>1.5</v>
      </c>
      <c r="L111" s="53" t="s">
        <v>503</v>
      </c>
      <c r="M111" s="50"/>
      <c r="N111" s="51"/>
      <c r="O111" s="701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6"/>
    </row>
    <row r="112" spans="1:57" s="48" customFormat="1" ht="25.5" x14ac:dyDescent="0.2">
      <c r="A112" s="158" t="s">
        <v>618</v>
      </c>
      <c r="B112" s="209" t="s">
        <v>505</v>
      </c>
      <c r="C112" s="192"/>
      <c r="D112" s="189">
        <v>2028</v>
      </c>
      <c r="E112" s="188">
        <f t="shared" si="46"/>
        <v>2</v>
      </c>
      <c r="F112" s="188">
        <v>2</v>
      </c>
      <c r="G112" s="188">
        <v>0</v>
      </c>
      <c r="H112" s="188">
        <v>0</v>
      </c>
      <c r="I112" s="188">
        <v>0</v>
      </c>
      <c r="J112" s="188">
        <v>0</v>
      </c>
      <c r="K112" s="261">
        <f t="shared" si="24"/>
        <v>2</v>
      </c>
      <c r="L112" s="53" t="s">
        <v>503</v>
      </c>
      <c r="M112" s="50"/>
      <c r="N112" s="51"/>
      <c r="O112" s="701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6"/>
    </row>
    <row r="113" spans="1:57" s="48" customFormat="1" ht="27" customHeight="1" x14ac:dyDescent="0.2">
      <c r="A113" s="158" t="s">
        <v>619</v>
      </c>
      <c r="B113" s="209" t="s">
        <v>506</v>
      </c>
      <c r="C113" s="248"/>
      <c r="D113" s="189">
        <v>2030</v>
      </c>
      <c r="E113" s="188">
        <f t="shared" si="46"/>
        <v>2</v>
      </c>
      <c r="F113" s="188">
        <v>2</v>
      </c>
      <c r="G113" s="188">
        <v>0</v>
      </c>
      <c r="H113" s="188">
        <v>0</v>
      </c>
      <c r="I113" s="188">
        <v>0</v>
      </c>
      <c r="J113" s="188">
        <v>0</v>
      </c>
      <c r="K113" s="261">
        <f t="shared" si="24"/>
        <v>2</v>
      </c>
      <c r="L113" s="53" t="s">
        <v>503</v>
      </c>
      <c r="M113" s="50"/>
      <c r="N113" s="51"/>
      <c r="O113" s="701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6"/>
    </row>
    <row r="114" spans="1:57" s="48" customFormat="1" x14ac:dyDescent="0.2">
      <c r="A114" s="698" t="s">
        <v>410</v>
      </c>
      <c r="B114" s="648" t="s">
        <v>480</v>
      </c>
      <c r="C114" s="705" t="s">
        <v>989</v>
      </c>
      <c r="D114" s="46" t="s">
        <v>198</v>
      </c>
      <c r="E114" s="47">
        <f>E115+E116+E117+E118</f>
        <v>1.2239</v>
      </c>
      <c r="F114" s="47">
        <f t="shared" ref="F114:J114" si="47">F115+F116+F117+F118</f>
        <v>1.2239</v>
      </c>
      <c r="G114" s="47">
        <f t="shared" si="47"/>
        <v>0</v>
      </c>
      <c r="H114" s="47">
        <f t="shared" si="47"/>
        <v>0</v>
      </c>
      <c r="I114" s="47">
        <f t="shared" si="47"/>
        <v>0</v>
      </c>
      <c r="J114" s="47">
        <f t="shared" si="47"/>
        <v>0</v>
      </c>
      <c r="K114" s="261">
        <f t="shared" si="24"/>
        <v>1.2239</v>
      </c>
      <c r="L114" s="52"/>
      <c r="M114" s="50"/>
      <c r="N114" s="51"/>
      <c r="O114" s="701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6"/>
    </row>
    <row r="115" spans="1:57" s="48" customFormat="1" x14ac:dyDescent="0.2">
      <c r="A115" s="698"/>
      <c r="B115" s="648"/>
      <c r="C115" s="706"/>
      <c r="D115" s="46">
        <v>2021</v>
      </c>
      <c r="E115" s="188">
        <f>F115+G115+H115+I115+J115</f>
        <v>8.09E-2</v>
      </c>
      <c r="F115" s="188">
        <f>F119</f>
        <v>8.09E-2</v>
      </c>
      <c r="G115" s="188">
        <v>0</v>
      </c>
      <c r="H115" s="188">
        <v>0</v>
      </c>
      <c r="I115" s="188">
        <v>0</v>
      </c>
      <c r="J115" s="188">
        <v>0</v>
      </c>
      <c r="K115" s="261">
        <f t="shared" si="24"/>
        <v>8.09E-2</v>
      </c>
      <c r="L115" s="52"/>
      <c r="M115" s="50"/>
      <c r="N115" s="51"/>
      <c r="O115" s="701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6"/>
    </row>
    <row r="116" spans="1:57" s="48" customFormat="1" x14ac:dyDescent="0.2">
      <c r="A116" s="698"/>
      <c r="B116" s="648"/>
      <c r="C116" s="706"/>
      <c r="D116" s="46">
        <v>2024</v>
      </c>
      <c r="E116" s="188">
        <f t="shared" ref="E116:E118" si="48">F116+G116+H116+I116+J116</f>
        <v>0.17299999999999999</v>
      </c>
      <c r="F116" s="188">
        <f>F120</f>
        <v>0.17299999999999999</v>
      </c>
      <c r="G116" s="188">
        <v>0</v>
      </c>
      <c r="H116" s="188">
        <v>0</v>
      </c>
      <c r="I116" s="188">
        <v>0</v>
      </c>
      <c r="J116" s="188">
        <v>0</v>
      </c>
      <c r="K116" s="261">
        <f t="shared" si="24"/>
        <v>0.17299999999999999</v>
      </c>
      <c r="L116" s="52"/>
      <c r="M116" s="50"/>
      <c r="N116" s="51"/>
      <c r="O116" s="701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6"/>
    </row>
    <row r="117" spans="1:57" s="48" customFormat="1" x14ac:dyDescent="0.2">
      <c r="A117" s="698"/>
      <c r="B117" s="648"/>
      <c r="C117" s="706"/>
      <c r="D117" s="46">
        <v>2026</v>
      </c>
      <c r="E117" s="188">
        <f t="shared" si="48"/>
        <v>0.45</v>
      </c>
      <c r="F117" s="188">
        <f>F121</f>
        <v>0.45</v>
      </c>
      <c r="G117" s="188">
        <v>0</v>
      </c>
      <c r="H117" s="188">
        <v>0</v>
      </c>
      <c r="I117" s="188">
        <v>0</v>
      </c>
      <c r="J117" s="188">
        <v>0</v>
      </c>
      <c r="K117" s="261">
        <f t="shared" si="24"/>
        <v>0.45</v>
      </c>
      <c r="L117" s="52"/>
      <c r="M117" s="50"/>
      <c r="N117" s="51"/>
      <c r="O117" s="701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6"/>
    </row>
    <row r="118" spans="1:57" s="48" customFormat="1" x14ac:dyDescent="0.2">
      <c r="A118" s="698"/>
      <c r="B118" s="648"/>
      <c r="C118" s="706"/>
      <c r="D118" s="46">
        <v>2027</v>
      </c>
      <c r="E118" s="188">
        <f t="shared" si="48"/>
        <v>0.52</v>
      </c>
      <c r="F118" s="188">
        <v>0.52</v>
      </c>
      <c r="G118" s="188">
        <v>0</v>
      </c>
      <c r="H118" s="188">
        <v>0</v>
      </c>
      <c r="I118" s="188">
        <v>0</v>
      </c>
      <c r="J118" s="188">
        <v>0</v>
      </c>
      <c r="K118" s="261">
        <f t="shared" si="24"/>
        <v>0.52</v>
      </c>
      <c r="L118" s="52"/>
      <c r="M118" s="50"/>
      <c r="N118" s="51"/>
      <c r="O118" s="701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6"/>
    </row>
    <row r="119" spans="1:57" s="48" customFormat="1" ht="15.75" customHeight="1" x14ac:dyDescent="0.2">
      <c r="A119" s="168" t="s">
        <v>620</v>
      </c>
      <c r="B119" s="183" t="s">
        <v>492</v>
      </c>
      <c r="C119" s="735"/>
      <c r="D119" s="386">
        <v>2021</v>
      </c>
      <c r="E119" s="188">
        <f>F119+G119+H119+I119+J119</f>
        <v>8.09E-2</v>
      </c>
      <c r="F119" s="188">
        <v>8.09E-2</v>
      </c>
      <c r="G119" s="188">
        <v>0</v>
      </c>
      <c r="H119" s="188">
        <v>0</v>
      </c>
      <c r="I119" s="188">
        <v>0</v>
      </c>
      <c r="J119" s="188">
        <v>0</v>
      </c>
      <c r="K119" s="261">
        <f t="shared" si="24"/>
        <v>8.09E-2</v>
      </c>
      <c r="L119" s="52"/>
      <c r="M119" s="50"/>
      <c r="N119" s="51"/>
      <c r="O119" s="701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6"/>
    </row>
    <row r="120" spans="1:57" s="48" customFormat="1" ht="15.75" customHeight="1" x14ac:dyDescent="0.2">
      <c r="A120" s="168" t="s">
        <v>968</v>
      </c>
      <c r="B120" s="137" t="s">
        <v>494</v>
      </c>
      <c r="C120" s="735"/>
      <c r="D120" s="189">
        <v>2024</v>
      </c>
      <c r="E120" s="188">
        <f>F120+G120+H120+I120+J120</f>
        <v>0.17299999999999999</v>
      </c>
      <c r="F120" s="188">
        <v>0.17299999999999999</v>
      </c>
      <c r="G120" s="188">
        <v>0</v>
      </c>
      <c r="H120" s="188">
        <v>0</v>
      </c>
      <c r="I120" s="188">
        <v>0</v>
      </c>
      <c r="J120" s="188">
        <v>0</v>
      </c>
      <c r="K120" s="261">
        <f t="shared" si="24"/>
        <v>0.17299999999999999</v>
      </c>
      <c r="L120" s="52"/>
      <c r="M120" s="50"/>
      <c r="N120" s="51"/>
      <c r="O120" s="701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6"/>
    </row>
    <row r="121" spans="1:57" s="48" customFormat="1" ht="15.75" customHeight="1" x14ac:dyDescent="0.2">
      <c r="A121" s="168" t="s">
        <v>621</v>
      </c>
      <c r="B121" s="137" t="s">
        <v>493</v>
      </c>
      <c r="C121" s="735"/>
      <c r="D121" s="189">
        <v>2026</v>
      </c>
      <c r="E121" s="188">
        <f>F121+G121+H121+I121+J121</f>
        <v>0.45</v>
      </c>
      <c r="F121" s="188">
        <v>0.45</v>
      </c>
      <c r="G121" s="188">
        <v>0</v>
      </c>
      <c r="H121" s="188">
        <v>0</v>
      </c>
      <c r="I121" s="188">
        <v>0</v>
      </c>
      <c r="J121" s="188">
        <v>0</v>
      </c>
      <c r="K121" s="261">
        <f t="shared" si="24"/>
        <v>0.45</v>
      </c>
      <c r="L121" s="52"/>
      <c r="M121" s="50"/>
      <c r="N121" s="51"/>
      <c r="O121" s="701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6"/>
    </row>
    <row r="122" spans="1:57" s="48" customFormat="1" ht="14.25" customHeight="1" x14ac:dyDescent="0.2">
      <c r="A122" s="168" t="s">
        <v>622</v>
      </c>
      <c r="B122" s="137" t="s">
        <v>495</v>
      </c>
      <c r="C122" s="770"/>
      <c r="D122" s="189">
        <v>2027</v>
      </c>
      <c r="E122" s="188">
        <f>F122+G122+H122+I122+J122</f>
        <v>0.52</v>
      </c>
      <c r="F122" s="188">
        <v>0.52</v>
      </c>
      <c r="G122" s="188">
        <v>0</v>
      </c>
      <c r="H122" s="188">
        <v>0</v>
      </c>
      <c r="I122" s="188">
        <v>0</v>
      </c>
      <c r="J122" s="188">
        <v>0</v>
      </c>
      <c r="K122" s="261">
        <f t="shared" si="24"/>
        <v>0.52</v>
      </c>
      <c r="L122" s="52"/>
      <c r="M122" s="50"/>
      <c r="N122" s="51"/>
      <c r="O122" s="702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6"/>
    </row>
    <row r="123" spans="1:57" s="48" customFormat="1" ht="12.75" customHeight="1" x14ac:dyDescent="0.2">
      <c r="A123" s="697" t="s">
        <v>623</v>
      </c>
      <c r="B123" s="631" t="s">
        <v>478</v>
      </c>
      <c r="C123" s="137"/>
      <c r="D123" s="46" t="s">
        <v>198</v>
      </c>
      <c r="E123" s="47">
        <f>E125+E126+E127+E128+E129+E130+E124</f>
        <v>261.48500000000001</v>
      </c>
      <c r="F123" s="47">
        <f t="shared" ref="F123:J123" si="49">F125+F126+F127+F128+F129+F130+F124</f>
        <v>46.726999999999997</v>
      </c>
      <c r="G123" s="47">
        <f t="shared" si="49"/>
        <v>0</v>
      </c>
      <c r="H123" s="47">
        <f t="shared" si="49"/>
        <v>214.75799999999998</v>
      </c>
      <c r="I123" s="47">
        <f t="shared" si="49"/>
        <v>0</v>
      </c>
      <c r="J123" s="47">
        <f t="shared" si="49"/>
        <v>0</v>
      </c>
      <c r="K123" s="261">
        <f t="shared" si="24"/>
        <v>261.48499999999996</v>
      </c>
      <c r="L123" s="52"/>
      <c r="M123" s="50"/>
      <c r="N123" s="51"/>
      <c r="O123" s="746" t="s">
        <v>599</v>
      </c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6"/>
    </row>
    <row r="124" spans="1:57" s="48" customFormat="1" ht="12.75" customHeight="1" x14ac:dyDescent="0.2">
      <c r="A124" s="698"/>
      <c r="B124" s="648"/>
      <c r="C124" s="463"/>
      <c r="D124" s="318">
        <v>2019</v>
      </c>
      <c r="E124" s="317">
        <f>E144</f>
        <v>12.5</v>
      </c>
      <c r="F124" s="317">
        <f t="shared" ref="F124:J124" si="50">F144</f>
        <v>12.5</v>
      </c>
      <c r="G124" s="317">
        <f t="shared" si="50"/>
        <v>0</v>
      </c>
      <c r="H124" s="317">
        <f t="shared" si="50"/>
        <v>0</v>
      </c>
      <c r="I124" s="317">
        <f t="shared" si="50"/>
        <v>0</v>
      </c>
      <c r="J124" s="317">
        <f t="shared" si="50"/>
        <v>0</v>
      </c>
      <c r="K124" s="261"/>
      <c r="L124" s="52"/>
      <c r="M124" s="50"/>
      <c r="N124" s="51"/>
      <c r="O124" s="747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6"/>
    </row>
    <row r="125" spans="1:57" s="48" customFormat="1" ht="12.75" customHeight="1" x14ac:dyDescent="0.2">
      <c r="A125" s="698"/>
      <c r="B125" s="648"/>
      <c r="C125" s="638" t="s">
        <v>969</v>
      </c>
      <c r="D125" s="189">
        <v>2020</v>
      </c>
      <c r="E125" s="188">
        <f>E145</f>
        <v>2.9849999999999999</v>
      </c>
      <c r="F125" s="188">
        <f>F145</f>
        <v>2.9849999999999999</v>
      </c>
      <c r="G125" s="188">
        <f t="shared" ref="G125:J125" si="51">G145</f>
        <v>0</v>
      </c>
      <c r="H125" s="188">
        <f t="shared" si="51"/>
        <v>0</v>
      </c>
      <c r="I125" s="188">
        <f t="shared" si="51"/>
        <v>0</v>
      </c>
      <c r="J125" s="188">
        <f t="shared" si="51"/>
        <v>0</v>
      </c>
      <c r="K125" s="261">
        <f t="shared" si="24"/>
        <v>2.9849999999999999</v>
      </c>
      <c r="L125" s="52"/>
      <c r="M125" s="50"/>
      <c r="N125" s="51"/>
      <c r="O125" s="747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6"/>
    </row>
    <row r="126" spans="1:57" s="48" customFormat="1" x14ac:dyDescent="0.2">
      <c r="A126" s="663"/>
      <c r="B126" s="701"/>
      <c r="C126" s="639"/>
      <c r="D126" s="189">
        <v>2021</v>
      </c>
      <c r="E126" s="188">
        <f>E146</f>
        <v>0</v>
      </c>
      <c r="F126" s="188">
        <f t="shared" ref="F126:J126" si="52">F146</f>
        <v>0</v>
      </c>
      <c r="G126" s="188">
        <f t="shared" si="52"/>
        <v>0</v>
      </c>
      <c r="H126" s="188">
        <f t="shared" si="52"/>
        <v>0</v>
      </c>
      <c r="I126" s="188">
        <f t="shared" si="52"/>
        <v>0</v>
      </c>
      <c r="J126" s="188">
        <f t="shared" si="52"/>
        <v>0</v>
      </c>
      <c r="K126" s="261">
        <f t="shared" si="24"/>
        <v>0</v>
      </c>
      <c r="L126" s="53"/>
      <c r="M126" s="50"/>
      <c r="N126" s="51"/>
      <c r="O126" s="747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6"/>
    </row>
    <row r="127" spans="1:57" s="48" customFormat="1" x14ac:dyDescent="0.2">
      <c r="A127" s="663"/>
      <c r="B127" s="701"/>
      <c r="C127" s="639"/>
      <c r="D127" s="189">
        <v>2022</v>
      </c>
      <c r="E127" s="188">
        <f>E147</f>
        <v>0</v>
      </c>
      <c r="F127" s="188">
        <f t="shared" ref="F127:J127" si="53">F147</f>
        <v>0</v>
      </c>
      <c r="G127" s="188">
        <f t="shared" si="53"/>
        <v>0</v>
      </c>
      <c r="H127" s="188">
        <f t="shared" si="53"/>
        <v>0</v>
      </c>
      <c r="I127" s="188">
        <f t="shared" si="53"/>
        <v>0</v>
      </c>
      <c r="J127" s="188">
        <f t="shared" si="53"/>
        <v>0</v>
      </c>
      <c r="K127" s="261">
        <f t="shared" si="24"/>
        <v>0</v>
      </c>
      <c r="L127" s="53"/>
      <c r="M127" s="50"/>
      <c r="N127" s="51"/>
      <c r="O127" s="747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6"/>
    </row>
    <row r="128" spans="1:57" s="48" customFormat="1" x14ac:dyDescent="0.2">
      <c r="A128" s="663"/>
      <c r="B128" s="701"/>
      <c r="C128" s="638" t="s">
        <v>970</v>
      </c>
      <c r="D128" s="189">
        <v>2026</v>
      </c>
      <c r="E128" s="188">
        <f>E132+E136+E140</f>
        <v>24.599999999999998</v>
      </c>
      <c r="F128" s="303">
        <f t="shared" ref="F128:I128" si="54">F132+F136+F140</f>
        <v>24.599999999999998</v>
      </c>
      <c r="G128" s="303">
        <f t="shared" si="54"/>
        <v>0</v>
      </c>
      <c r="H128" s="303">
        <f t="shared" si="54"/>
        <v>0</v>
      </c>
      <c r="I128" s="303">
        <f t="shared" si="54"/>
        <v>0</v>
      </c>
      <c r="J128" s="188">
        <f t="shared" ref="J128" si="55">J138</f>
        <v>0</v>
      </c>
      <c r="K128" s="261">
        <f t="shared" si="24"/>
        <v>24.599999999999998</v>
      </c>
      <c r="L128" s="53"/>
      <c r="M128" s="50"/>
      <c r="N128" s="51"/>
      <c r="O128" s="747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6"/>
    </row>
    <row r="129" spans="1:57" s="48" customFormat="1" x14ac:dyDescent="0.2">
      <c r="A129" s="301"/>
      <c r="B129" s="305"/>
      <c r="C129" s="639"/>
      <c r="D129" s="304">
        <v>2027</v>
      </c>
      <c r="E129" s="303">
        <f>E133+E137+E141</f>
        <v>110.69999999999999</v>
      </c>
      <c r="F129" s="303">
        <f t="shared" ref="F129:J129" si="56">F133+F137+F141</f>
        <v>3.3209999999999997</v>
      </c>
      <c r="G129" s="303">
        <f t="shared" si="56"/>
        <v>0</v>
      </c>
      <c r="H129" s="303">
        <f t="shared" si="56"/>
        <v>107.37899999999999</v>
      </c>
      <c r="I129" s="303">
        <f t="shared" si="56"/>
        <v>0</v>
      </c>
      <c r="J129" s="303">
        <f t="shared" si="56"/>
        <v>0</v>
      </c>
      <c r="K129" s="261"/>
      <c r="L129" s="100"/>
      <c r="M129" s="50"/>
      <c r="N129" s="63"/>
      <c r="O129" s="747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6"/>
    </row>
    <row r="130" spans="1:57" s="48" customFormat="1" x14ac:dyDescent="0.2">
      <c r="A130" s="301"/>
      <c r="B130" s="305"/>
      <c r="C130" s="640"/>
      <c r="D130" s="304">
        <v>2028</v>
      </c>
      <c r="E130" s="303">
        <f>E134+E138+E142</f>
        <v>110.69999999999999</v>
      </c>
      <c r="F130" s="303">
        <f t="shared" ref="F130:J130" si="57">F134+F138+F142</f>
        <v>3.3209999999999997</v>
      </c>
      <c r="G130" s="303">
        <f t="shared" si="57"/>
        <v>0</v>
      </c>
      <c r="H130" s="303">
        <f t="shared" si="57"/>
        <v>107.37899999999999</v>
      </c>
      <c r="I130" s="303">
        <f t="shared" si="57"/>
        <v>0</v>
      </c>
      <c r="J130" s="303">
        <f t="shared" si="57"/>
        <v>0</v>
      </c>
      <c r="K130" s="261"/>
      <c r="L130" s="100"/>
      <c r="M130" s="50"/>
      <c r="N130" s="63"/>
      <c r="O130" s="747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6"/>
    </row>
    <row r="131" spans="1:57" s="48" customFormat="1" x14ac:dyDescent="0.2">
      <c r="A131" s="697" t="s">
        <v>624</v>
      </c>
      <c r="B131" s="660" t="s">
        <v>481</v>
      </c>
      <c r="C131" s="920" t="s">
        <v>969</v>
      </c>
      <c r="D131" s="125" t="s">
        <v>198</v>
      </c>
      <c r="E131" s="126">
        <f>E132+E133+E134</f>
        <v>82</v>
      </c>
      <c r="F131" s="47">
        <f t="shared" ref="F131:J131" si="58">F132+F133+F134</f>
        <v>10.413999999999998</v>
      </c>
      <c r="G131" s="47">
        <f t="shared" si="58"/>
        <v>0</v>
      </c>
      <c r="H131" s="47">
        <f t="shared" si="58"/>
        <v>71.585999999999999</v>
      </c>
      <c r="I131" s="47">
        <f t="shared" si="58"/>
        <v>0</v>
      </c>
      <c r="J131" s="47">
        <f t="shared" si="58"/>
        <v>0</v>
      </c>
      <c r="K131" s="261">
        <f t="shared" si="24"/>
        <v>82</v>
      </c>
      <c r="L131" s="633" t="s">
        <v>511</v>
      </c>
      <c r="M131" s="148"/>
      <c r="N131" s="802">
        <v>10</v>
      </c>
      <c r="O131" s="747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6"/>
    </row>
    <row r="132" spans="1:57" s="48" customFormat="1" x14ac:dyDescent="0.2">
      <c r="A132" s="698"/>
      <c r="B132" s="902"/>
      <c r="C132" s="920"/>
      <c r="D132" s="132">
        <v>2026</v>
      </c>
      <c r="E132" s="133">
        <f>F132+G132+H132+I132+J132+L132</f>
        <v>8.1999999999999993</v>
      </c>
      <c r="F132" s="188">
        <v>8.1999999999999993</v>
      </c>
      <c r="G132" s="188">
        <v>0</v>
      </c>
      <c r="H132" s="188">
        <v>0</v>
      </c>
      <c r="I132" s="188">
        <v>0</v>
      </c>
      <c r="J132" s="188">
        <v>0</v>
      </c>
      <c r="K132" s="261">
        <f t="shared" si="24"/>
        <v>8.1999999999999993</v>
      </c>
      <c r="L132" s="848"/>
      <c r="M132" s="148"/>
      <c r="N132" s="803"/>
      <c r="O132" s="747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6"/>
    </row>
    <row r="133" spans="1:57" s="48" customFormat="1" x14ac:dyDescent="0.2">
      <c r="A133" s="698"/>
      <c r="B133" s="902"/>
      <c r="C133" s="920"/>
      <c r="D133" s="132">
        <v>2027</v>
      </c>
      <c r="E133" s="133">
        <f t="shared" ref="E133:E134" si="59">F133+G133+H133+I133+J133+L133</f>
        <v>36.9</v>
      </c>
      <c r="F133" s="303">
        <v>1.107</v>
      </c>
      <c r="G133" s="303">
        <v>0</v>
      </c>
      <c r="H133" s="303">
        <v>35.792999999999999</v>
      </c>
      <c r="I133" s="303">
        <v>0</v>
      </c>
      <c r="J133" s="303"/>
      <c r="K133" s="261"/>
      <c r="L133" s="306"/>
      <c r="M133" s="297"/>
      <c r="N133" s="298"/>
      <c r="O133" s="747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6"/>
    </row>
    <row r="134" spans="1:57" s="48" customFormat="1" x14ac:dyDescent="0.2">
      <c r="A134" s="734"/>
      <c r="B134" s="918"/>
      <c r="C134" s="920"/>
      <c r="D134" s="132">
        <v>2028</v>
      </c>
      <c r="E134" s="133">
        <f t="shared" si="59"/>
        <v>36.9</v>
      </c>
      <c r="F134" s="188">
        <v>1.107</v>
      </c>
      <c r="G134" s="188">
        <v>0</v>
      </c>
      <c r="H134" s="188">
        <v>35.792999999999999</v>
      </c>
      <c r="I134" s="188">
        <v>0</v>
      </c>
      <c r="J134" s="188">
        <v>0</v>
      </c>
      <c r="K134" s="261">
        <f t="shared" si="24"/>
        <v>36.9</v>
      </c>
      <c r="L134" s="271"/>
      <c r="M134" s="148"/>
      <c r="N134" s="166"/>
      <c r="O134" s="747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6"/>
    </row>
    <row r="135" spans="1:57" s="48" customFormat="1" x14ac:dyDescent="0.2">
      <c r="A135" s="697" t="s">
        <v>625</v>
      </c>
      <c r="B135" s="660" t="s">
        <v>482</v>
      </c>
      <c r="C135" s="643" t="s">
        <v>970</v>
      </c>
      <c r="D135" s="125" t="s">
        <v>198</v>
      </c>
      <c r="E135" s="126">
        <f>E136+E137+E138</f>
        <v>82</v>
      </c>
      <c r="F135" s="47">
        <f t="shared" ref="F135:J135" si="60">F136+F137+F138</f>
        <v>10.413999999999998</v>
      </c>
      <c r="G135" s="47">
        <f t="shared" si="60"/>
        <v>0</v>
      </c>
      <c r="H135" s="47">
        <f t="shared" si="60"/>
        <v>71.585999999999999</v>
      </c>
      <c r="I135" s="47">
        <f t="shared" si="60"/>
        <v>0</v>
      </c>
      <c r="J135" s="47">
        <f t="shared" si="60"/>
        <v>0</v>
      </c>
      <c r="K135" s="261">
        <f t="shared" si="24"/>
        <v>82</v>
      </c>
      <c r="L135" s="633" t="s">
        <v>511</v>
      </c>
      <c r="M135" s="54"/>
      <c r="N135" s="802"/>
      <c r="O135" s="747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6"/>
    </row>
    <row r="136" spans="1:57" s="48" customFormat="1" x14ac:dyDescent="0.2">
      <c r="A136" s="698"/>
      <c r="B136" s="883"/>
      <c r="C136" s="940"/>
      <c r="D136" s="132">
        <v>2026</v>
      </c>
      <c r="E136" s="133">
        <f>F136+G136+H136+I136+J136+L136</f>
        <v>8.1999999999999993</v>
      </c>
      <c r="F136" s="188">
        <v>8.1999999999999993</v>
      </c>
      <c r="G136" s="188">
        <v>0</v>
      </c>
      <c r="H136" s="188">
        <v>0</v>
      </c>
      <c r="I136" s="188">
        <v>0</v>
      </c>
      <c r="J136" s="188">
        <v>0</v>
      </c>
      <c r="K136" s="261">
        <f t="shared" si="24"/>
        <v>8.1999999999999993</v>
      </c>
      <c r="L136" s="919"/>
      <c r="M136" s="54"/>
      <c r="N136" s="907"/>
      <c r="O136" s="747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6"/>
    </row>
    <row r="137" spans="1:57" s="48" customFormat="1" x14ac:dyDescent="0.2">
      <c r="A137" s="698"/>
      <c r="B137" s="883"/>
      <c r="C137" s="940"/>
      <c r="D137" s="132">
        <v>2027</v>
      </c>
      <c r="E137" s="133">
        <f>F137+G137+H137+I137+J137+L137</f>
        <v>36.9</v>
      </c>
      <c r="F137" s="188">
        <v>1.107</v>
      </c>
      <c r="G137" s="188">
        <v>0</v>
      </c>
      <c r="H137" s="188">
        <v>35.792999999999999</v>
      </c>
      <c r="I137" s="188">
        <v>0</v>
      </c>
      <c r="J137" s="188">
        <v>0</v>
      </c>
      <c r="K137" s="261">
        <f t="shared" si="24"/>
        <v>36.9</v>
      </c>
      <c r="L137" s="919"/>
      <c r="M137" s="54"/>
      <c r="N137" s="907"/>
      <c r="O137" s="747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6"/>
    </row>
    <row r="138" spans="1:57" s="48" customFormat="1" ht="21.75" customHeight="1" x14ac:dyDescent="0.2">
      <c r="A138" s="699"/>
      <c r="B138" s="661"/>
      <c r="C138" s="644"/>
      <c r="D138" s="132">
        <v>2028</v>
      </c>
      <c r="E138" s="133">
        <f>F138+G138+H138+I138+J138+L138</f>
        <v>36.9</v>
      </c>
      <c r="F138" s="188">
        <v>1.107</v>
      </c>
      <c r="G138" s="188">
        <v>0</v>
      </c>
      <c r="H138" s="188">
        <v>35.792999999999999</v>
      </c>
      <c r="I138" s="188">
        <v>0</v>
      </c>
      <c r="J138" s="188">
        <v>0</v>
      </c>
      <c r="K138" s="261">
        <f t="shared" si="24"/>
        <v>36.9</v>
      </c>
      <c r="L138" s="848"/>
      <c r="M138" s="54"/>
      <c r="N138" s="803"/>
      <c r="O138" s="747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6"/>
    </row>
    <row r="139" spans="1:57" s="48" customFormat="1" x14ac:dyDescent="0.2">
      <c r="A139" s="697" t="s">
        <v>626</v>
      </c>
      <c r="B139" s="660" t="s">
        <v>483</v>
      </c>
      <c r="C139" s="643" t="s">
        <v>970</v>
      </c>
      <c r="D139" s="125" t="s">
        <v>198</v>
      </c>
      <c r="E139" s="126">
        <f>E140+E141+E142</f>
        <v>82</v>
      </c>
      <c r="F139" s="47">
        <f t="shared" ref="F139:J139" si="61">F140+F141+F142</f>
        <v>10.413999999999998</v>
      </c>
      <c r="G139" s="47">
        <f t="shared" si="61"/>
        <v>0</v>
      </c>
      <c r="H139" s="47">
        <f t="shared" si="61"/>
        <v>71.585999999999999</v>
      </c>
      <c r="I139" s="47">
        <f t="shared" si="61"/>
        <v>0</v>
      </c>
      <c r="J139" s="47">
        <f t="shared" si="61"/>
        <v>0</v>
      </c>
      <c r="K139" s="261">
        <f t="shared" si="24"/>
        <v>82</v>
      </c>
      <c r="L139" s="633" t="s">
        <v>511</v>
      </c>
      <c r="M139" s="54"/>
      <c r="N139" s="51"/>
      <c r="O139" s="747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6"/>
    </row>
    <row r="140" spans="1:57" s="48" customFormat="1" x14ac:dyDescent="0.2">
      <c r="A140" s="698"/>
      <c r="B140" s="883"/>
      <c r="C140" s="940"/>
      <c r="D140" s="132">
        <v>2026</v>
      </c>
      <c r="E140" s="133">
        <f>F140+G140+H140+I140+J140+L140</f>
        <v>8.1999999999999993</v>
      </c>
      <c r="F140" s="188">
        <v>8.1999999999999993</v>
      </c>
      <c r="G140" s="188">
        <v>0</v>
      </c>
      <c r="H140" s="188">
        <v>0</v>
      </c>
      <c r="I140" s="188">
        <v>0</v>
      </c>
      <c r="J140" s="188">
        <v>0</v>
      </c>
      <c r="K140" s="261">
        <f t="shared" si="24"/>
        <v>8.1999999999999993</v>
      </c>
      <c r="L140" s="919"/>
      <c r="M140" s="54"/>
      <c r="N140" s="51"/>
      <c r="O140" s="747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6"/>
    </row>
    <row r="141" spans="1:57" s="48" customFormat="1" x14ac:dyDescent="0.2">
      <c r="A141" s="698"/>
      <c r="B141" s="883"/>
      <c r="C141" s="940"/>
      <c r="D141" s="132">
        <v>2027</v>
      </c>
      <c r="E141" s="133">
        <f>F141+G141+H141+I141+J141+L141</f>
        <v>36.9</v>
      </c>
      <c r="F141" s="188">
        <v>1.107</v>
      </c>
      <c r="G141" s="188">
        <v>0</v>
      </c>
      <c r="H141" s="188">
        <v>35.792999999999999</v>
      </c>
      <c r="I141" s="188">
        <v>0</v>
      </c>
      <c r="J141" s="188">
        <v>0</v>
      </c>
      <c r="K141" s="261">
        <f t="shared" ref="K141:K217" si="62">F141+G141+H141+I141+J141</f>
        <v>36.9</v>
      </c>
      <c r="L141" s="919"/>
      <c r="M141" s="54"/>
      <c r="N141" s="51"/>
      <c r="O141" s="747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6"/>
    </row>
    <row r="142" spans="1:57" s="48" customFormat="1" x14ac:dyDescent="0.2">
      <c r="A142" s="698"/>
      <c r="B142" s="883"/>
      <c r="C142" s="644"/>
      <c r="D142" s="132">
        <v>2028</v>
      </c>
      <c r="E142" s="133">
        <f>F142+G142+H142+I142+J142+L142</f>
        <v>36.9</v>
      </c>
      <c r="F142" s="188">
        <v>1.107</v>
      </c>
      <c r="G142" s="188">
        <v>0</v>
      </c>
      <c r="H142" s="188">
        <v>35.792999999999999</v>
      </c>
      <c r="I142" s="188">
        <v>0</v>
      </c>
      <c r="J142" s="188">
        <v>0</v>
      </c>
      <c r="K142" s="261">
        <f t="shared" si="62"/>
        <v>36.9</v>
      </c>
      <c r="L142" s="919"/>
      <c r="M142" s="54"/>
      <c r="N142" s="51"/>
      <c r="O142" s="747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6"/>
    </row>
    <row r="143" spans="1:57" s="330" customFormat="1" x14ac:dyDescent="0.2">
      <c r="A143" s="692" t="s">
        <v>627</v>
      </c>
      <c r="B143" s="688" t="s">
        <v>484</v>
      </c>
      <c r="C143" s="359"/>
      <c r="D143" s="323" t="s">
        <v>198</v>
      </c>
      <c r="E143" s="324">
        <f>E145+E146+E147+E144</f>
        <v>15.484999999999999</v>
      </c>
      <c r="F143" s="324">
        <f t="shared" ref="F143:H143" si="63">F145+F146+F147+F144</f>
        <v>15.484999999999999</v>
      </c>
      <c r="G143" s="324">
        <f t="shared" si="63"/>
        <v>0</v>
      </c>
      <c r="H143" s="324">
        <f t="shared" si="63"/>
        <v>0</v>
      </c>
      <c r="I143" s="324">
        <f t="shared" ref="I143:J143" si="64">I145+I146+I147</f>
        <v>0</v>
      </c>
      <c r="J143" s="324">
        <f t="shared" si="64"/>
        <v>0</v>
      </c>
      <c r="K143" s="325">
        <f t="shared" si="62"/>
        <v>15.484999999999999</v>
      </c>
      <c r="L143" s="857" t="s">
        <v>511</v>
      </c>
      <c r="M143" s="326"/>
      <c r="N143" s="859">
        <v>10</v>
      </c>
      <c r="O143" s="747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8"/>
      <c r="AZ143" s="328"/>
      <c r="BA143" s="328"/>
      <c r="BB143" s="328"/>
      <c r="BC143" s="328"/>
      <c r="BD143" s="328"/>
      <c r="BE143" s="329"/>
    </row>
    <row r="144" spans="1:57" s="330" customFormat="1" x14ac:dyDescent="0.2">
      <c r="A144" s="654"/>
      <c r="B144" s="689"/>
      <c r="C144" s="359"/>
      <c r="D144" s="331">
        <v>2019</v>
      </c>
      <c r="E144" s="332">
        <f>F144</f>
        <v>12.5</v>
      </c>
      <c r="F144" s="332">
        <v>12.5</v>
      </c>
      <c r="G144" s="332">
        <v>0</v>
      </c>
      <c r="H144" s="332">
        <v>0</v>
      </c>
      <c r="I144" s="332">
        <v>0</v>
      </c>
      <c r="J144" s="332">
        <v>0</v>
      </c>
      <c r="K144" s="325"/>
      <c r="L144" s="897"/>
      <c r="M144" s="326"/>
      <c r="N144" s="906"/>
      <c r="O144" s="747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9"/>
    </row>
    <row r="145" spans="1:57" s="330" customFormat="1" x14ac:dyDescent="0.2">
      <c r="A145" s="654"/>
      <c r="B145" s="689"/>
      <c r="C145" s="656" t="s">
        <v>984</v>
      </c>
      <c r="D145" s="331">
        <v>2020</v>
      </c>
      <c r="E145" s="332">
        <f>F145+G145+H145+I145+J145</f>
        <v>2.9849999999999999</v>
      </c>
      <c r="F145" s="332">
        <v>2.9849999999999999</v>
      </c>
      <c r="G145" s="332">
        <v>0</v>
      </c>
      <c r="H145" s="332">
        <v>0</v>
      </c>
      <c r="I145" s="332">
        <v>0</v>
      </c>
      <c r="J145" s="332">
        <v>0</v>
      </c>
      <c r="K145" s="325">
        <f t="shared" si="62"/>
        <v>2.9849999999999999</v>
      </c>
      <c r="L145" s="897"/>
      <c r="M145" s="326"/>
      <c r="N145" s="906"/>
      <c r="O145" s="747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9"/>
    </row>
    <row r="146" spans="1:57" s="330" customFormat="1" x14ac:dyDescent="0.2">
      <c r="A146" s="654"/>
      <c r="B146" s="689"/>
      <c r="C146" s="657"/>
      <c r="D146" s="466">
        <v>2021</v>
      </c>
      <c r="E146" s="467">
        <f t="shared" ref="E146:E147" si="65">F146+G146+H146+I146+J146</f>
        <v>0</v>
      </c>
      <c r="F146" s="467">
        <v>0</v>
      </c>
      <c r="G146" s="467">
        <v>0</v>
      </c>
      <c r="H146" s="467">
        <v>0</v>
      </c>
      <c r="I146" s="332">
        <v>0</v>
      </c>
      <c r="J146" s="332">
        <v>0</v>
      </c>
      <c r="K146" s="325">
        <f t="shared" si="62"/>
        <v>0</v>
      </c>
      <c r="L146" s="897"/>
      <c r="M146" s="326"/>
      <c r="N146" s="906"/>
      <c r="O146" s="747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9"/>
    </row>
    <row r="147" spans="1:57" s="330" customFormat="1" x14ac:dyDescent="0.2">
      <c r="A147" s="654"/>
      <c r="B147" s="689"/>
      <c r="C147" s="657"/>
      <c r="D147" s="466">
        <v>2022</v>
      </c>
      <c r="E147" s="467">
        <f t="shared" si="65"/>
        <v>0</v>
      </c>
      <c r="F147" s="467">
        <v>0</v>
      </c>
      <c r="G147" s="467">
        <v>0</v>
      </c>
      <c r="H147" s="467">
        <v>0</v>
      </c>
      <c r="I147" s="332">
        <v>0</v>
      </c>
      <c r="J147" s="332">
        <v>0</v>
      </c>
      <c r="K147" s="325">
        <f t="shared" si="62"/>
        <v>0</v>
      </c>
      <c r="L147" s="891"/>
      <c r="M147" s="326"/>
      <c r="N147" s="906"/>
      <c r="O147" s="747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9"/>
    </row>
    <row r="148" spans="1:57" s="48" customFormat="1" x14ac:dyDescent="0.2">
      <c r="A148" s="697" t="s">
        <v>628</v>
      </c>
      <c r="B148" s="688" t="s">
        <v>868</v>
      </c>
      <c r="C148" s="181"/>
      <c r="D148" s="46" t="s">
        <v>198</v>
      </c>
      <c r="E148" s="47">
        <f t="shared" ref="E148:J148" si="66">E149+E151</f>
        <v>141.1328</v>
      </c>
      <c r="F148" s="47">
        <f t="shared" si="66"/>
        <v>3.9755000000000003</v>
      </c>
      <c r="G148" s="47">
        <f t="shared" si="66"/>
        <v>132.35929999999999</v>
      </c>
      <c r="H148" s="47">
        <f t="shared" si="66"/>
        <v>4.798</v>
      </c>
      <c r="I148" s="47">
        <f t="shared" si="66"/>
        <v>0</v>
      </c>
      <c r="J148" s="47">
        <f t="shared" si="66"/>
        <v>0</v>
      </c>
      <c r="K148" s="261">
        <f t="shared" si="62"/>
        <v>141.1328</v>
      </c>
      <c r="L148" s="812" t="s">
        <v>598</v>
      </c>
      <c r="M148" s="50"/>
      <c r="N148" s="802">
        <v>20</v>
      </c>
      <c r="O148" s="747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6"/>
    </row>
    <row r="149" spans="1:57" s="48" customFormat="1" ht="24" customHeight="1" x14ac:dyDescent="0.2">
      <c r="A149" s="698"/>
      <c r="B149" s="689"/>
      <c r="C149" s="183" t="s">
        <v>384</v>
      </c>
      <c r="D149" s="189">
        <v>2019</v>
      </c>
      <c r="E149" s="188">
        <f t="shared" ref="E149:E151" si="67">F149+G149+H149+I149+J149</f>
        <v>3.2585000000000002</v>
      </c>
      <c r="F149" s="188">
        <v>3.2585000000000002</v>
      </c>
      <c r="G149" s="188">
        <v>0</v>
      </c>
      <c r="H149" s="188">
        <v>0</v>
      </c>
      <c r="I149" s="188">
        <v>0</v>
      </c>
      <c r="J149" s="188">
        <v>0</v>
      </c>
      <c r="K149" s="261">
        <f t="shared" si="62"/>
        <v>3.2585000000000002</v>
      </c>
      <c r="L149" s="861"/>
      <c r="M149" s="50"/>
      <c r="N149" s="907"/>
      <c r="O149" s="747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6"/>
    </row>
    <row r="150" spans="1:57" s="48" customFormat="1" x14ac:dyDescent="0.2">
      <c r="A150" s="698"/>
      <c r="B150" s="689"/>
      <c r="C150" s="353"/>
      <c r="D150" s="331">
        <v>2020</v>
      </c>
      <c r="E150" s="332">
        <f>F150+G150+H150</f>
        <v>56.761800000000001</v>
      </c>
      <c r="F150" s="332">
        <v>0.29520000000000002</v>
      </c>
      <c r="G150" s="332">
        <v>54.491300000000003</v>
      </c>
      <c r="H150" s="332">
        <v>1.9753000000000001</v>
      </c>
      <c r="I150" s="332">
        <v>0</v>
      </c>
      <c r="J150" s="332">
        <v>0</v>
      </c>
      <c r="K150" s="261">
        <f t="shared" si="62"/>
        <v>56.761800000000001</v>
      </c>
      <c r="L150" s="861"/>
      <c r="M150" s="50"/>
      <c r="N150" s="907"/>
      <c r="O150" s="747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6"/>
    </row>
    <row r="151" spans="1:57" s="48" customFormat="1" x14ac:dyDescent="0.2">
      <c r="A151" s="698"/>
      <c r="B151" s="689"/>
      <c r="C151" s="353" t="s">
        <v>976</v>
      </c>
      <c r="D151" s="331">
        <v>2021</v>
      </c>
      <c r="E151" s="332">
        <f t="shared" si="67"/>
        <v>137.87430000000001</v>
      </c>
      <c r="F151" s="332">
        <v>0.71699999999999997</v>
      </c>
      <c r="G151" s="332">
        <v>132.35929999999999</v>
      </c>
      <c r="H151" s="332">
        <v>4.798</v>
      </c>
      <c r="I151" s="332">
        <v>0</v>
      </c>
      <c r="J151" s="332">
        <v>0</v>
      </c>
      <c r="K151" s="261">
        <f t="shared" si="62"/>
        <v>137.87430000000001</v>
      </c>
      <c r="L151" s="861"/>
      <c r="M151" s="50"/>
      <c r="N151" s="907"/>
      <c r="O151" s="747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6"/>
    </row>
    <row r="152" spans="1:57" s="48" customFormat="1" x14ac:dyDescent="0.2">
      <c r="A152" s="697" t="s">
        <v>629</v>
      </c>
      <c r="B152" s="660" t="s">
        <v>485</v>
      </c>
      <c r="C152" s="631" t="s">
        <v>970</v>
      </c>
      <c r="D152" s="46" t="s">
        <v>198</v>
      </c>
      <c r="E152" s="47">
        <f>E153+E154</f>
        <v>88</v>
      </c>
      <c r="F152" s="47">
        <f t="shared" ref="F152:J152" si="68">F153+F154</f>
        <v>8.39</v>
      </c>
      <c r="G152" s="47">
        <f t="shared" si="68"/>
        <v>0</v>
      </c>
      <c r="H152" s="47">
        <f t="shared" si="68"/>
        <v>79.61</v>
      </c>
      <c r="I152" s="47">
        <f t="shared" si="68"/>
        <v>0</v>
      </c>
      <c r="J152" s="47">
        <f t="shared" si="68"/>
        <v>0</v>
      </c>
      <c r="K152" s="261">
        <f t="shared" si="62"/>
        <v>88</v>
      </c>
      <c r="L152" s="812" t="s">
        <v>598</v>
      </c>
      <c r="M152" s="50"/>
      <c r="N152" s="802">
        <v>35</v>
      </c>
      <c r="O152" s="747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6"/>
    </row>
    <row r="153" spans="1:57" s="131" customFormat="1" x14ac:dyDescent="0.2">
      <c r="A153" s="698"/>
      <c r="B153" s="883"/>
      <c r="C153" s="701"/>
      <c r="D153" s="132">
        <v>2026</v>
      </c>
      <c r="E153" s="133">
        <f>F153+G153+H153+I153+J153</f>
        <v>4.2</v>
      </c>
      <c r="F153" s="133">
        <v>4.2</v>
      </c>
      <c r="G153" s="133">
        <v>0</v>
      </c>
      <c r="H153" s="133">
        <v>0</v>
      </c>
      <c r="I153" s="133">
        <v>0</v>
      </c>
      <c r="J153" s="133">
        <v>0</v>
      </c>
      <c r="K153" s="136">
        <f t="shared" si="62"/>
        <v>4.2</v>
      </c>
      <c r="L153" s="861"/>
      <c r="M153" s="127"/>
      <c r="N153" s="907"/>
      <c r="O153" s="747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30"/>
    </row>
    <row r="154" spans="1:57" s="131" customFormat="1" x14ac:dyDescent="0.2">
      <c r="A154" s="699"/>
      <c r="B154" s="661"/>
      <c r="C154" s="702"/>
      <c r="D154" s="132">
        <v>2027</v>
      </c>
      <c r="E154" s="133">
        <f>F154+G154+H154+I154+J154</f>
        <v>83.8</v>
      </c>
      <c r="F154" s="133">
        <v>4.1900000000000004</v>
      </c>
      <c r="G154" s="133">
        <v>0</v>
      </c>
      <c r="H154" s="133">
        <v>79.61</v>
      </c>
      <c r="I154" s="133">
        <v>0</v>
      </c>
      <c r="J154" s="133">
        <v>0</v>
      </c>
      <c r="K154" s="136">
        <f t="shared" si="62"/>
        <v>83.8</v>
      </c>
      <c r="L154" s="813"/>
      <c r="M154" s="127"/>
      <c r="N154" s="803"/>
      <c r="O154" s="747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30"/>
    </row>
    <row r="155" spans="1:57" s="48" customFormat="1" ht="16.5" customHeight="1" x14ac:dyDescent="0.2">
      <c r="A155" s="697" t="s">
        <v>630</v>
      </c>
      <c r="B155" s="660" t="s">
        <v>1051</v>
      </c>
      <c r="C155" s="705" t="s">
        <v>970</v>
      </c>
      <c r="D155" s="46" t="s">
        <v>198</v>
      </c>
      <c r="E155" s="47">
        <f>E156+E157</f>
        <v>3.8</v>
      </c>
      <c r="F155" s="47">
        <f t="shared" ref="F155:J155" si="69">F156+F157</f>
        <v>0.55000000000000004</v>
      </c>
      <c r="G155" s="47">
        <f t="shared" si="69"/>
        <v>0</v>
      </c>
      <c r="H155" s="47">
        <f t="shared" si="69"/>
        <v>3.25</v>
      </c>
      <c r="I155" s="47">
        <f t="shared" si="69"/>
        <v>0</v>
      </c>
      <c r="J155" s="47">
        <f t="shared" si="69"/>
        <v>0</v>
      </c>
      <c r="K155" s="261">
        <f t="shared" si="62"/>
        <v>3.8</v>
      </c>
      <c r="L155" s="633" t="s">
        <v>591</v>
      </c>
      <c r="M155" s="50"/>
      <c r="N155" s="51"/>
      <c r="O155" s="747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6"/>
    </row>
    <row r="156" spans="1:57" s="131" customFormat="1" x14ac:dyDescent="0.2">
      <c r="A156" s="698"/>
      <c r="B156" s="883"/>
      <c r="C156" s="706"/>
      <c r="D156" s="132">
        <v>2026</v>
      </c>
      <c r="E156" s="133">
        <f>F156+G156+H156+I156+J156</f>
        <v>0.38</v>
      </c>
      <c r="F156" s="133">
        <v>0.38</v>
      </c>
      <c r="G156" s="133">
        <v>0</v>
      </c>
      <c r="H156" s="133">
        <v>0</v>
      </c>
      <c r="I156" s="133">
        <v>0</v>
      </c>
      <c r="J156" s="133">
        <v>0</v>
      </c>
      <c r="K156" s="136">
        <f t="shared" si="62"/>
        <v>0.38</v>
      </c>
      <c r="L156" s="916"/>
      <c r="M156" s="127"/>
      <c r="N156" s="128"/>
      <c r="O156" s="747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30"/>
    </row>
    <row r="157" spans="1:57" s="131" customFormat="1" x14ac:dyDescent="0.2">
      <c r="A157" s="734"/>
      <c r="B157" s="661"/>
      <c r="C157" s="299"/>
      <c r="D157" s="132">
        <v>2027</v>
      </c>
      <c r="E157" s="133">
        <f>F157+G157+H157+I157+J157</f>
        <v>3.42</v>
      </c>
      <c r="F157" s="133">
        <v>0.17</v>
      </c>
      <c r="G157" s="133">
        <v>0</v>
      </c>
      <c r="H157" s="133">
        <f>3.42-F157</f>
        <v>3.25</v>
      </c>
      <c r="I157" s="133">
        <v>0</v>
      </c>
      <c r="J157" s="133">
        <v>0</v>
      </c>
      <c r="K157" s="136">
        <f t="shared" si="62"/>
        <v>3.42</v>
      </c>
      <c r="L157" s="917"/>
      <c r="M157" s="127"/>
      <c r="N157" s="128"/>
      <c r="O157" s="747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30"/>
    </row>
    <row r="158" spans="1:57" s="131" customFormat="1" ht="25.5" customHeight="1" x14ac:dyDescent="0.2">
      <c r="A158" s="697" t="s">
        <v>1081</v>
      </c>
      <c r="B158" s="910" t="s">
        <v>1073</v>
      </c>
      <c r="C158" s="641" t="s">
        <v>1065</v>
      </c>
      <c r="D158" s="125" t="s">
        <v>513</v>
      </c>
      <c r="E158" s="133">
        <f t="shared" ref="E158:E160" si="70">F158+G158+H158+I158+J158</f>
        <v>0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6"/>
      <c r="L158" s="313"/>
      <c r="M158" s="127"/>
      <c r="N158" s="128"/>
      <c r="O158" s="747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30"/>
    </row>
    <row r="159" spans="1:57" s="131" customFormat="1" x14ac:dyDescent="0.2">
      <c r="A159" s="698"/>
      <c r="B159" s="911"/>
      <c r="C159" s="951"/>
      <c r="D159" s="132">
        <v>2020</v>
      </c>
      <c r="E159" s="133">
        <f t="shared" si="70"/>
        <v>0</v>
      </c>
      <c r="F159" s="434">
        <v>0</v>
      </c>
      <c r="G159" s="434">
        <v>0</v>
      </c>
      <c r="H159" s="434">
        <v>0</v>
      </c>
      <c r="I159" s="133">
        <v>0</v>
      </c>
      <c r="J159" s="133">
        <v>0</v>
      </c>
      <c r="K159" s="136"/>
      <c r="L159" s="469" t="s">
        <v>1074</v>
      </c>
      <c r="M159" s="127"/>
      <c r="N159" s="128"/>
      <c r="O159" s="747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30"/>
    </row>
    <row r="160" spans="1:57" s="131" customFormat="1" x14ac:dyDescent="0.2">
      <c r="A160" s="734"/>
      <c r="B160" s="912"/>
      <c r="C160" s="951"/>
      <c r="D160" s="132">
        <v>2021</v>
      </c>
      <c r="E160" s="133">
        <f t="shared" si="70"/>
        <v>0</v>
      </c>
      <c r="F160" s="435">
        <v>0</v>
      </c>
      <c r="G160" s="435">
        <v>0</v>
      </c>
      <c r="H160" s="436">
        <v>0</v>
      </c>
      <c r="I160" s="133">
        <v>0</v>
      </c>
      <c r="J160" s="133">
        <v>0</v>
      </c>
      <c r="K160" s="136"/>
      <c r="L160" s="469"/>
      <c r="M160" s="127"/>
      <c r="N160" s="128"/>
      <c r="O160" s="747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30"/>
    </row>
    <row r="161" spans="1:57" s="131" customFormat="1" x14ac:dyDescent="0.2">
      <c r="A161" s="697" t="s">
        <v>1082</v>
      </c>
      <c r="B161" s="913" t="s">
        <v>1063</v>
      </c>
      <c r="C161" s="951"/>
      <c r="D161" s="125" t="s">
        <v>513</v>
      </c>
      <c r="E161" s="133">
        <v>0</v>
      </c>
      <c r="F161" s="435">
        <v>0</v>
      </c>
      <c r="G161" s="435">
        <v>0</v>
      </c>
      <c r="H161" s="436">
        <v>0</v>
      </c>
      <c r="I161" s="133">
        <v>0</v>
      </c>
      <c r="J161" s="133">
        <v>0</v>
      </c>
      <c r="K161" s="136"/>
      <c r="L161" s="469"/>
      <c r="M161" s="127"/>
      <c r="N161" s="128"/>
      <c r="O161" s="747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30"/>
    </row>
    <row r="162" spans="1:57" s="131" customFormat="1" x14ac:dyDescent="0.2">
      <c r="A162" s="698"/>
      <c r="B162" s="914"/>
      <c r="C162" s="951"/>
      <c r="D162" s="132">
        <v>2020</v>
      </c>
      <c r="E162" s="133">
        <v>0</v>
      </c>
      <c r="F162" s="435">
        <v>0</v>
      </c>
      <c r="G162" s="435">
        <v>0</v>
      </c>
      <c r="H162" s="436">
        <v>0</v>
      </c>
      <c r="I162" s="133">
        <v>0</v>
      </c>
      <c r="J162" s="133">
        <v>0</v>
      </c>
      <c r="K162" s="136"/>
      <c r="L162" s="469" t="s">
        <v>1070</v>
      </c>
      <c r="M162" s="127"/>
      <c r="N162" s="128"/>
      <c r="O162" s="747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30"/>
    </row>
    <row r="163" spans="1:57" s="131" customFormat="1" x14ac:dyDescent="0.2">
      <c r="A163" s="734"/>
      <c r="B163" s="915"/>
      <c r="C163" s="951"/>
      <c r="D163" s="132">
        <v>2021</v>
      </c>
      <c r="E163" s="133">
        <v>0</v>
      </c>
      <c r="F163" s="435">
        <v>0</v>
      </c>
      <c r="G163" s="435">
        <v>0</v>
      </c>
      <c r="H163" s="436">
        <v>0</v>
      </c>
      <c r="I163" s="133">
        <v>0</v>
      </c>
      <c r="J163" s="133">
        <v>0</v>
      </c>
      <c r="K163" s="136"/>
      <c r="L163" s="469"/>
      <c r="M163" s="127"/>
      <c r="N163" s="128"/>
      <c r="O163" s="747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30"/>
    </row>
    <row r="164" spans="1:57" s="131" customFormat="1" ht="12.75" customHeight="1" x14ac:dyDescent="0.2">
      <c r="A164" s="909" t="s">
        <v>1083</v>
      </c>
      <c r="B164" s="910" t="s">
        <v>1072</v>
      </c>
      <c r="C164" s="951"/>
      <c r="D164" s="125" t="s">
        <v>513</v>
      </c>
      <c r="E164" s="133">
        <v>0</v>
      </c>
      <c r="F164" s="435">
        <v>0</v>
      </c>
      <c r="G164" s="435">
        <v>0</v>
      </c>
      <c r="H164" s="436">
        <v>0</v>
      </c>
      <c r="I164" s="133">
        <v>0</v>
      </c>
      <c r="J164" s="133">
        <v>0</v>
      </c>
      <c r="K164" s="136"/>
      <c r="L164" s="469"/>
      <c r="M164" s="127"/>
      <c r="N164" s="128"/>
      <c r="O164" s="747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30"/>
    </row>
    <row r="165" spans="1:57" s="131" customFormat="1" x14ac:dyDescent="0.2">
      <c r="A165" s="909"/>
      <c r="B165" s="911"/>
      <c r="C165" s="951"/>
      <c r="D165" s="132">
        <v>2020</v>
      </c>
      <c r="E165" s="133">
        <v>0</v>
      </c>
      <c r="F165" s="133">
        <v>0</v>
      </c>
      <c r="G165" s="133">
        <v>0</v>
      </c>
      <c r="H165" s="133">
        <v>0</v>
      </c>
      <c r="I165" s="133">
        <v>0</v>
      </c>
      <c r="J165" s="133">
        <v>0</v>
      </c>
      <c r="K165" s="136"/>
      <c r="L165" s="469" t="s">
        <v>1071</v>
      </c>
      <c r="M165" s="127"/>
      <c r="N165" s="128"/>
      <c r="O165" s="747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30"/>
    </row>
    <row r="166" spans="1:57" s="131" customFormat="1" x14ac:dyDescent="0.2">
      <c r="A166" s="909"/>
      <c r="B166" s="912"/>
      <c r="C166" s="951"/>
      <c r="D166" s="132">
        <v>2021</v>
      </c>
      <c r="E166" s="133">
        <v>0</v>
      </c>
      <c r="F166" s="133">
        <v>0</v>
      </c>
      <c r="G166" s="133">
        <v>0</v>
      </c>
      <c r="H166" s="133">
        <v>0</v>
      </c>
      <c r="I166" s="133">
        <v>0</v>
      </c>
      <c r="J166" s="133">
        <v>0</v>
      </c>
      <c r="K166" s="136"/>
      <c r="L166" s="469"/>
      <c r="M166" s="127"/>
      <c r="N166" s="128"/>
      <c r="O166" s="747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30"/>
    </row>
    <row r="167" spans="1:57" s="131" customFormat="1" x14ac:dyDescent="0.2">
      <c r="A167" s="697" t="s">
        <v>1084</v>
      </c>
      <c r="B167" s="460" t="s">
        <v>1064</v>
      </c>
      <c r="C167" s="951"/>
      <c r="D167" s="125" t="s">
        <v>513</v>
      </c>
      <c r="E167" s="133">
        <v>0</v>
      </c>
      <c r="F167" s="133">
        <v>0</v>
      </c>
      <c r="G167" s="133">
        <v>0</v>
      </c>
      <c r="H167" s="133">
        <v>0</v>
      </c>
      <c r="I167" s="133">
        <v>0</v>
      </c>
      <c r="J167" s="133">
        <v>0</v>
      </c>
      <c r="K167" s="136"/>
      <c r="L167" s="469"/>
      <c r="M167" s="127"/>
      <c r="N167" s="128"/>
      <c r="O167" s="747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30"/>
    </row>
    <row r="168" spans="1:57" s="131" customFormat="1" x14ac:dyDescent="0.2">
      <c r="A168" s="698"/>
      <c r="B168" s="461"/>
      <c r="C168" s="951"/>
      <c r="D168" s="132">
        <v>2020</v>
      </c>
      <c r="E168" s="133">
        <v>0</v>
      </c>
      <c r="F168" s="133">
        <v>0</v>
      </c>
      <c r="G168" s="133">
        <v>0</v>
      </c>
      <c r="H168" s="133">
        <v>0</v>
      </c>
      <c r="I168" s="133">
        <v>0</v>
      </c>
      <c r="J168" s="133">
        <v>0</v>
      </c>
      <c r="K168" s="136"/>
      <c r="L168" s="469" t="s">
        <v>239</v>
      </c>
      <c r="M168" s="127"/>
      <c r="N168" s="128"/>
      <c r="O168" s="747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30"/>
    </row>
    <row r="169" spans="1:57" s="131" customFormat="1" x14ac:dyDescent="0.2">
      <c r="A169" s="734"/>
      <c r="B169" s="462"/>
      <c r="C169" s="951"/>
      <c r="D169" s="132">
        <v>2021</v>
      </c>
      <c r="E169" s="133">
        <v>0</v>
      </c>
      <c r="F169" s="133">
        <v>0</v>
      </c>
      <c r="G169" s="133">
        <v>0</v>
      </c>
      <c r="H169" s="133">
        <v>0</v>
      </c>
      <c r="I169" s="133">
        <v>0</v>
      </c>
      <c r="J169" s="133">
        <v>0</v>
      </c>
      <c r="K169" s="136"/>
      <c r="L169" s="469"/>
      <c r="M169" s="127"/>
      <c r="N169" s="128"/>
      <c r="O169" s="747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30"/>
    </row>
    <row r="170" spans="1:57" s="131" customFormat="1" ht="25.5" customHeight="1" x14ac:dyDescent="0.2">
      <c r="A170" s="697" t="s">
        <v>554</v>
      </c>
      <c r="B170" s="948" t="s">
        <v>1069</v>
      </c>
      <c r="C170" s="951"/>
      <c r="D170" s="125" t="s">
        <v>513</v>
      </c>
      <c r="E170" s="133">
        <v>0</v>
      </c>
      <c r="F170" s="133">
        <v>0</v>
      </c>
      <c r="G170" s="133">
        <v>0</v>
      </c>
      <c r="H170" s="133">
        <v>0</v>
      </c>
      <c r="I170" s="133">
        <v>0</v>
      </c>
      <c r="J170" s="133">
        <v>0</v>
      </c>
      <c r="K170" s="136"/>
      <c r="L170" s="469" t="s">
        <v>810</v>
      </c>
      <c r="M170" s="127"/>
      <c r="N170" s="128"/>
      <c r="O170" s="747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30"/>
    </row>
    <row r="171" spans="1:57" s="131" customFormat="1" x14ac:dyDescent="0.2">
      <c r="A171" s="698"/>
      <c r="B171" s="949"/>
      <c r="C171" s="951"/>
      <c r="D171" s="132">
        <v>2020</v>
      </c>
      <c r="E171" s="133">
        <v>0</v>
      </c>
      <c r="F171" s="133">
        <v>0</v>
      </c>
      <c r="G171" s="133">
        <v>0</v>
      </c>
      <c r="H171" s="133">
        <v>0</v>
      </c>
      <c r="I171" s="133">
        <v>0</v>
      </c>
      <c r="J171" s="133">
        <v>0</v>
      </c>
      <c r="K171" s="136"/>
      <c r="L171" s="469"/>
      <c r="M171" s="127"/>
      <c r="N171" s="128"/>
      <c r="O171" s="747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30"/>
    </row>
    <row r="172" spans="1:57" s="131" customFormat="1" x14ac:dyDescent="0.2">
      <c r="A172" s="734"/>
      <c r="B172" s="950"/>
      <c r="C172" s="642"/>
      <c r="D172" s="132">
        <v>2021</v>
      </c>
      <c r="E172" s="133">
        <v>0</v>
      </c>
      <c r="F172" s="133">
        <v>0</v>
      </c>
      <c r="G172" s="133">
        <v>0</v>
      </c>
      <c r="H172" s="133">
        <v>0</v>
      </c>
      <c r="I172" s="133">
        <v>0</v>
      </c>
      <c r="J172" s="133">
        <v>0</v>
      </c>
      <c r="K172" s="136"/>
      <c r="L172" s="469"/>
      <c r="M172" s="127"/>
      <c r="N172" s="128"/>
      <c r="O172" s="747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30"/>
    </row>
    <row r="173" spans="1:57" s="131" customFormat="1" x14ac:dyDescent="0.2">
      <c r="A173" s="697" t="s">
        <v>585</v>
      </c>
      <c r="B173" s="908" t="s">
        <v>1068</v>
      </c>
      <c r="C173" s="641" t="s">
        <v>1066</v>
      </c>
      <c r="D173" s="125" t="s">
        <v>513</v>
      </c>
      <c r="E173" s="133">
        <v>0</v>
      </c>
      <c r="F173" s="133">
        <v>0</v>
      </c>
      <c r="G173" s="133">
        <v>0</v>
      </c>
      <c r="H173" s="133">
        <v>0</v>
      </c>
      <c r="I173" s="133">
        <v>0</v>
      </c>
      <c r="J173" s="133">
        <v>0</v>
      </c>
      <c r="K173" s="136"/>
      <c r="L173" s="469"/>
      <c r="M173" s="127"/>
      <c r="N173" s="128"/>
      <c r="O173" s="747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30"/>
    </row>
    <row r="174" spans="1:57" s="131" customFormat="1" x14ac:dyDescent="0.2">
      <c r="A174" s="698"/>
      <c r="B174" s="908"/>
      <c r="C174" s="642"/>
      <c r="D174" s="132">
        <v>2023</v>
      </c>
      <c r="E174" s="133">
        <v>0</v>
      </c>
      <c r="F174" s="133">
        <v>0</v>
      </c>
      <c r="G174" s="133">
        <v>0</v>
      </c>
      <c r="H174" s="133">
        <v>0</v>
      </c>
      <c r="I174" s="133">
        <v>0</v>
      </c>
      <c r="J174" s="133">
        <v>0</v>
      </c>
      <c r="K174" s="136"/>
      <c r="L174" s="469" t="s">
        <v>1067</v>
      </c>
      <c r="M174" s="127"/>
      <c r="N174" s="128"/>
      <c r="O174" s="747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30"/>
    </row>
    <row r="175" spans="1:57" s="131" customFormat="1" x14ac:dyDescent="0.2">
      <c r="A175" s="909" t="s">
        <v>586</v>
      </c>
      <c r="B175" s="908" t="s">
        <v>1075</v>
      </c>
      <c r="C175" s="641" t="s">
        <v>1066</v>
      </c>
      <c r="D175" s="125" t="s">
        <v>513</v>
      </c>
      <c r="E175" s="133">
        <v>0</v>
      </c>
      <c r="F175" s="133">
        <v>0</v>
      </c>
      <c r="G175" s="133">
        <v>0</v>
      </c>
      <c r="H175" s="133">
        <v>0</v>
      </c>
      <c r="I175" s="133">
        <v>0</v>
      </c>
      <c r="J175" s="133">
        <v>0</v>
      </c>
      <c r="K175" s="136"/>
      <c r="L175" s="469"/>
      <c r="M175" s="127"/>
      <c r="N175" s="128"/>
      <c r="O175" s="747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30"/>
    </row>
    <row r="176" spans="1:57" s="131" customFormat="1" x14ac:dyDescent="0.2">
      <c r="A176" s="909"/>
      <c r="B176" s="908"/>
      <c r="C176" s="642"/>
      <c r="D176" s="132">
        <v>2024</v>
      </c>
      <c r="E176" s="133">
        <v>0</v>
      </c>
      <c r="F176" s="133">
        <v>0</v>
      </c>
      <c r="G176" s="133">
        <v>0</v>
      </c>
      <c r="H176" s="133">
        <v>0</v>
      </c>
      <c r="I176" s="133">
        <v>0</v>
      </c>
      <c r="J176" s="133">
        <v>0</v>
      </c>
      <c r="K176" s="136"/>
      <c r="L176" s="469" t="s">
        <v>1076</v>
      </c>
      <c r="M176" s="127"/>
      <c r="N176" s="128"/>
      <c r="O176" s="747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30"/>
    </row>
    <row r="177" spans="1:57" s="131" customFormat="1" x14ac:dyDescent="0.2">
      <c r="A177" s="315" t="s">
        <v>587</v>
      </c>
      <c r="B177" s="908" t="s">
        <v>1068</v>
      </c>
      <c r="C177" s="641" t="s">
        <v>970</v>
      </c>
      <c r="D177" s="125" t="s">
        <v>513</v>
      </c>
      <c r="E177" s="133">
        <f>E178</f>
        <v>0</v>
      </c>
      <c r="F177" s="133">
        <f t="shared" ref="F177:J177" si="71">F178</f>
        <v>0</v>
      </c>
      <c r="G177" s="133">
        <f t="shared" si="71"/>
        <v>0</v>
      </c>
      <c r="H177" s="133">
        <f t="shared" si="71"/>
        <v>0</v>
      </c>
      <c r="I177" s="133">
        <f t="shared" si="71"/>
        <v>0</v>
      </c>
      <c r="J177" s="133">
        <f t="shared" si="71"/>
        <v>0</v>
      </c>
      <c r="K177" s="136"/>
      <c r="L177" s="469"/>
      <c r="M177" s="127"/>
      <c r="N177" s="128"/>
      <c r="O177" s="747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30"/>
    </row>
    <row r="178" spans="1:57" s="131" customFormat="1" x14ac:dyDescent="0.2">
      <c r="A178" s="320"/>
      <c r="B178" s="908"/>
      <c r="C178" s="642"/>
      <c r="D178" s="132">
        <v>2028</v>
      </c>
      <c r="E178" s="133">
        <v>0</v>
      </c>
      <c r="F178" s="133">
        <v>0</v>
      </c>
      <c r="G178" s="133">
        <v>0</v>
      </c>
      <c r="H178" s="133">
        <v>0</v>
      </c>
      <c r="I178" s="133">
        <v>0</v>
      </c>
      <c r="J178" s="133">
        <v>0</v>
      </c>
      <c r="K178" s="136"/>
      <c r="L178" s="469" t="s">
        <v>598</v>
      </c>
      <c r="M178" s="127"/>
      <c r="N178" s="128"/>
      <c r="O178" s="747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30"/>
    </row>
    <row r="179" spans="1:57" s="131" customFormat="1" x14ac:dyDescent="0.2">
      <c r="A179" s="315" t="s">
        <v>631</v>
      </c>
      <c r="B179" s="908" t="s">
        <v>1068</v>
      </c>
      <c r="C179" s="641" t="s">
        <v>970</v>
      </c>
      <c r="D179" s="125" t="s">
        <v>513</v>
      </c>
      <c r="E179" s="133">
        <f>E180</f>
        <v>0</v>
      </c>
      <c r="F179" s="133">
        <f t="shared" ref="F179" si="72">F180</f>
        <v>0</v>
      </c>
      <c r="G179" s="133">
        <f t="shared" ref="G179" si="73">G180</f>
        <v>0</v>
      </c>
      <c r="H179" s="133">
        <f t="shared" ref="H179" si="74">H180</f>
        <v>0</v>
      </c>
      <c r="I179" s="133">
        <f t="shared" ref="I179" si="75">I180</f>
        <v>0</v>
      </c>
      <c r="J179" s="133">
        <f t="shared" ref="J179" si="76">J180</f>
        <v>0</v>
      </c>
      <c r="K179" s="136"/>
      <c r="L179" s="313"/>
      <c r="M179" s="127"/>
      <c r="N179" s="128"/>
      <c r="O179" s="747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30"/>
    </row>
    <row r="180" spans="1:57" s="131" customFormat="1" x14ac:dyDescent="0.2">
      <c r="A180" s="315"/>
      <c r="B180" s="908"/>
      <c r="C180" s="642"/>
      <c r="D180" s="132">
        <v>2029</v>
      </c>
      <c r="E180" s="133">
        <v>0</v>
      </c>
      <c r="F180" s="133">
        <v>0</v>
      </c>
      <c r="G180" s="133">
        <v>0</v>
      </c>
      <c r="H180" s="133">
        <v>0</v>
      </c>
      <c r="I180" s="133">
        <v>0</v>
      </c>
      <c r="J180" s="133">
        <v>0</v>
      </c>
      <c r="K180" s="136"/>
      <c r="L180" s="313"/>
      <c r="M180" s="127"/>
      <c r="N180" s="128"/>
      <c r="O180" s="747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30"/>
    </row>
    <row r="181" spans="1:57" s="131" customFormat="1" x14ac:dyDescent="0.2">
      <c r="A181" s="900" t="s">
        <v>632</v>
      </c>
      <c r="B181" s="660" t="s">
        <v>856</v>
      </c>
      <c r="C181" s="660" t="s">
        <v>970</v>
      </c>
      <c r="D181" s="125" t="s">
        <v>198</v>
      </c>
      <c r="E181" s="126">
        <f>E182+E183</f>
        <v>15.75</v>
      </c>
      <c r="F181" s="126">
        <f>F182+F183</f>
        <v>1.5</v>
      </c>
      <c r="G181" s="126">
        <f t="shared" ref="G181:J181" si="77">G182+G183</f>
        <v>0</v>
      </c>
      <c r="H181" s="126">
        <f t="shared" si="77"/>
        <v>14.25</v>
      </c>
      <c r="I181" s="126">
        <f t="shared" si="77"/>
        <v>0</v>
      </c>
      <c r="J181" s="126">
        <f t="shared" si="77"/>
        <v>0</v>
      </c>
      <c r="K181" s="136">
        <f t="shared" si="62"/>
        <v>15.75</v>
      </c>
      <c r="L181" s="903" t="s">
        <v>567</v>
      </c>
      <c r="M181" s="127"/>
      <c r="N181" s="380"/>
      <c r="O181" s="831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30"/>
    </row>
    <row r="182" spans="1:57" s="131" customFormat="1" ht="13.5" customHeight="1" x14ac:dyDescent="0.2">
      <c r="A182" s="900"/>
      <c r="B182" s="883"/>
      <c r="C182" s="883"/>
      <c r="D182" s="132">
        <v>2026</v>
      </c>
      <c r="E182" s="133">
        <f>F182+G182+H182+I182+J182</f>
        <v>0.75</v>
      </c>
      <c r="F182" s="133">
        <v>0.75</v>
      </c>
      <c r="G182" s="133">
        <v>0</v>
      </c>
      <c r="H182" s="133">
        <v>0</v>
      </c>
      <c r="I182" s="133">
        <v>0</v>
      </c>
      <c r="J182" s="133">
        <v>0</v>
      </c>
      <c r="K182" s="136">
        <f t="shared" si="62"/>
        <v>0.75</v>
      </c>
      <c r="L182" s="904"/>
      <c r="M182" s="127"/>
      <c r="N182" s="380"/>
      <c r="O182" s="831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30"/>
    </row>
    <row r="183" spans="1:57" s="131" customFormat="1" x14ac:dyDescent="0.2">
      <c r="A183" s="901"/>
      <c r="B183" s="661"/>
      <c r="C183" s="902"/>
      <c r="D183" s="132">
        <v>2027</v>
      </c>
      <c r="E183" s="133">
        <f>F183+G183+H183+I183+J183</f>
        <v>15</v>
      </c>
      <c r="F183" s="133">
        <v>0.75</v>
      </c>
      <c r="G183" s="133">
        <v>0</v>
      </c>
      <c r="H183" s="133">
        <v>14.25</v>
      </c>
      <c r="I183" s="133">
        <v>0</v>
      </c>
      <c r="J183" s="133">
        <v>0</v>
      </c>
      <c r="K183" s="136">
        <f t="shared" si="62"/>
        <v>15</v>
      </c>
      <c r="L183" s="905"/>
      <c r="M183" s="127"/>
      <c r="N183" s="380"/>
      <c r="O183" s="831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30"/>
    </row>
    <row r="184" spans="1:57" s="48" customFormat="1" ht="19.5" customHeight="1" x14ac:dyDescent="0.2">
      <c r="A184" s="697" t="s">
        <v>633</v>
      </c>
      <c r="B184" s="660" t="s">
        <v>1056</v>
      </c>
      <c r="D184" s="46" t="s">
        <v>198</v>
      </c>
      <c r="E184" s="47">
        <f>E185+E186+E187</f>
        <v>280.9495</v>
      </c>
      <c r="F184" s="47">
        <f t="shared" ref="F184:I184" si="78">F185+F186+F187</f>
        <v>14.047500000000001</v>
      </c>
      <c r="G184" s="47">
        <f t="shared" si="78"/>
        <v>0</v>
      </c>
      <c r="H184" s="47">
        <f t="shared" si="78"/>
        <v>266.90200000000004</v>
      </c>
      <c r="I184" s="47">
        <f t="shared" si="78"/>
        <v>0</v>
      </c>
      <c r="J184" s="47">
        <f>J185+J186+J187</f>
        <v>0</v>
      </c>
      <c r="K184" s="261">
        <f t="shared" si="62"/>
        <v>280.94950000000006</v>
      </c>
      <c r="L184" s="806" t="s">
        <v>436</v>
      </c>
      <c r="M184" s="50"/>
      <c r="N184" s="850">
        <v>90</v>
      </c>
      <c r="O184" s="831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6"/>
    </row>
    <row r="185" spans="1:57" s="48" customFormat="1" x14ac:dyDescent="0.2">
      <c r="A185" s="698"/>
      <c r="B185" s="883"/>
      <c r="C185" s="154" t="s">
        <v>1050</v>
      </c>
      <c r="D185" s="132">
        <v>2023</v>
      </c>
      <c r="E185" s="133">
        <f t="shared" ref="E185:E186" si="79">F185+G185+H185+I185+J185</f>
        <v>102.9495</v>
      </c>
      <c r="F185" s="188">
        <v>5.1475</v>
      </c>
      <c r="G185" s="188">
        <v>0</v>
      </c>
      <c r="H185" s="188">
        <v>97.802000000000007</v>
      </c>
      <c r="I185" s="188">
        <v>0</v>
      </c>
      <c r="J185" s="188">
        <v>0</v>
      </c>
      <c r="K185" s="261">
        <f t="shared" si="62"/>
        <v>102.9495</v>
      </c>
      <c r="L185" s="636"/>
      <c r="M185" s="50"/>
      <c r="N185" s="634"/>
      <c r="O185" s="831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6"/>
    </row>
    <row r="186" spans="1:57" s="48" customFormat="1" x14ac:dyDescent="0.2">
      <c r="A186" s="698"/>
      <c r="B186" s="883"/>
      <c r="C186" s="155"/>
      <c r="D186" s="132">
        <v>2024</v>
      </c>
      <c r="E186" s="133">
        <f t="shared" si="79"/>
        <v>150</v>
      </c>
      <c r="F186" s="188">
        <v>7.5</v>
      </c>
      <c r="G186" s="188">
        <v>0</v>
      </c>
      <c r="H186" s="188">
        <v>142.5</v>
      </c>
      <c r="I186" s="188">
        <v>0</v>
      </c>
      <c r="J186" s="188">
        <v>0</v>
      </c>
      <c r="K186" s="261">
        <f t="shared" si="62"/>
        <v>150</v>
      </c>
      <c r="L186" s="636"/>
      <c r="M186" s="50"/>
      <c r="N186" s="634"/>
      <c r="O186" s="831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6"/>
    </row>
    <row r="187" spans="1:57" s="48" customFormat="1" ht="21.75" customHeight="1" x14ac:dyDescent="0.2">
      <c r="A187" s="698"/>
      <c r="B187" s="883"/>
      <c r="C187" s="248"/>
      <c r="D187" s="132">
        <v>2025</v>
      </c>
      <c r="E187" s="133">
        <f>F187+G187+H187+I187+J187</f>
        <v>28</v>
      </c>
      <c r="F187" s="188">
        <v>1.4</v>
      </c>
      <c r="G187" s="188">
        <v>0</v>
      </c>
      <c r="H187" s="188">
        <v>26.6</v>
      </c>
      <c r="I187" s="188">
        <v>0</v>
      </c>
      <c r="J187" s="188">
        <v>0</v>
      </c>
      <c r="K187" s="261">
        <f t="shared" si="62"/>
        <v>28</v>
      </c>
      <c r="L187" s="637"/>
      <c r="M187" s="50"/>
      <c r="N187" s="849"/>
      <c r="O187" s="831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6"/>
    </row>
    <row r="188" spans="1:57" s="131" customFormat="1" ht="17.25" customHeight="1" x14ac:dyDescent="0.2">
      <c r="A188" s="645" t="s">
        <v>634</v>
      </c>
      <c r="B188" s="660" t="s">
        <v>1057</v>
      </c>
      <c r="C188" s="378"/>
      <c r="D188" s="125" t="s">
        <v>198</v>
      </c>
      <c r="E188" s="126">
        <f>E189+E190</f>
        <v>78</v>
      </c>
      <c r="F188" s="126">
        <f t="shared" ref="F188:J188" si="80">F189+F190</f>
        <v>6.2750000000000004</v>
      </c>
      <c r="G188" s="126">
        <f t="shared" si="80"/>
        <v>0</v>
      </c>
      <c r="H188" s="126">
        <f t="shared" si="80"/>
        <v>71.724999999999994</v>
      </c>
      <c r="I188" s="126">
        <f t="shared" si="80"/>
        <v>0</v>
      </c>
      <c r="J188" s="126">
        <f t="shared" si="80"/>
        <v>0</v>
      </c>
      <c r="K188" s="136">
        <f t="shared" si="62"/>
        <v>78</v>
      </c>
      <c r="L188" s="885" t="s">
        <v>566</v>
      </c>
      <c r="M188" s="127"/>
      <c r="N188" s="380"/>
      <c r="O188" s="831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30"/>
    </row>
    <row r="189" spans="1:57" s="131" customFormat="1" ht="28.5" customHeight="1" x14ac:dyDescent="0.2">
      <c r="A189" s="646"/>
      <c r="B189" s="883"/>
      <c r="C189" s="641" t="s">
        <v>970</v>
      </c>
      <c r="D189" s="132">
        <v>2026</v>
      </c>
      <c r="E189" s="133">
        <f t="shared" ref="E189:E190" si="81">F189+G189+H189+I189+J189</f>
        <v>2.5</v>
      </c>
      <c r="F189" s="133">
        <v>2.5</v>
      </c>
      <c r="G189" s="133">
        <v>0</v>
      </c>
      <c r="H189" s="133">
        <v>0</v>
      </c>
      <c r="I189" s="133">
        <v>0</v>
      </c>
      <c r="J189" s="133">
        <v>0</v>
      </c>
      <c r="K189" s="136">
        <f t="shared" si="62"/>
        <v>2.5</v>
      </c>
      <c r="L189" s="893"/>
      <c r="M189" s="127"/>
      <c r="N189" s="380"/>
      <c r="O189" s="831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30"/>
    </row>
    <row r="190" spans="1:57" s="131" customFormat="1" ht="17.25" customHeight="1" x14ac:dyDescent="0.2">
      <c r="A190" s="300"/>
      <c r="B190" s="299"/>
      <c r="C190" s="642"/>
      <c r="D190" s="132">
        <v>2027</v>
      </c>
      <c r="E190" s="133">
        <f t="shared" si="81"/>
        <v>75.5</v>
      </c>
      <c r="F190" s="133">
        <v>3.7749999999999999</v>
      </c>
      <c r="G190" s="133">
        <v>0</v>
      </c>
      <c r="H190" s="133">
        <v>71.724999999999994</v>
      </c>
      <c r="I190" s="133">
        <v>0</v>
      </c>
      <c r="J190" s="133">
        <v>0</v>
      </c>
      <c r="K190" s="136">
        <f t="shared" si="62"/>
        <v>75.5</v>
      </c>
      <c r="L190" s="381"/>
      <c r="M190" s="127"/>
      <c r="N190" s="382"/>
      <c r="O190" s="831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30"/>
    </row>
    <row r="191" spans="1:57" s="330" customFormat="1" ht="12.75" customHeight="1" x14ac:dyDescent="0.2">
      <c r="A191" s="692" t="s">
        <v>635</v>
      </c>
      <c r="B191" s="894" t="s">
        <v>869</v>
      </c>
      <c r="C191" s="314" t="s">
        <v>1050</v>
      </c>
      <c r="D191" s="323" t="s">
        <v>198</v>
      </c>
      <c r="E191" s="324">
        <f>E192+E193</f>
        <v>90.933199999999999</v>
      </c>
      <c r="F191" s="324">
        <f t="shared" ref="F191:J191" si="82">F192</f>
        <v>5.9107000000000003</v>
      </c>
      <c r="G191" s="324">
        <f t="shared" si="82"/>
        <v>0</v>
      </c>
      <c r="H191" s="324">
        <f t="shared" si="82"/>
        <v>39.555900000000001</v>
      </c>
      <c r="I191" s="324">
        <f t="shared" si="82"/>
        <v>0</v>
      </c>
      <c r="J191" s="324">
        <f t="shared" si="82"/>
        <v>0</v>
      </c>
      <c r="K191" s="325">
        <f t="shared" si="62"/>
        <v>45.4666</v>
      </c>
      <c r="L191" s="857"/>
      <c r="M191" s="326"/>
      <c r="N191" s="898"/>
      <c r="O191" s="831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8"/>
      <c r="AQ191" s="328"/>
      <c r="AR191" s="328"/>
      <c r="AS191" s="328"/>
      <c r="AT191" s="328"/>
      <c r="AU191" s="328"/>
      <c r="AV191" s="328"/>
      <c r="AW191" s="328"/>
      <c r="AX191" s="328"/>
      <c r="AY191" s="328"/>
      <c r="AZ191" s="328"/>
      <c r="BA191" s="328"/>
      <c r="BB191" s="328"/>
      <c r="BC191" s="328"/>
      <c r="BD191" s="328"/>
      <c r="BE191" s="329"/>
    </row>
    <row r="192" spans="1:57" s="330" customFormat="1" ht="12.75" customHeight="1" x14ac:dyDescent="0.2">
      <c r="A192" s="654"/>
      <c r="B192" s="895"/>
      <c r="C192" s="350"/>
      <c r="D192" s="331">
        <v>2020</v>
      </c>
      <c r="E192" s="332">
        <f>F192+G192+H192+I192+J192</f>
        <v>45.4666</v>
      </c>
      <c r="F192" s="332">
        <v>5.9107000000000003</v>
      </c>
      <c r="G192" s="332">
        <v>0</v>
      </c>
      <c r="H192" s="332">
        <v>39.555900000000001</v>
      </c>
      <c r="I192" s="332">
        <v>0</v>
      </c>
      <c r="J192" s="332">
        <v>0</v>
      </c>
      <c r="K192" s="325">
        <f t="shared" si="62"/>
        <v>45.4666</v>
      </c>
      <c r="L192" s="897"/>
      <c r="M192" s="326"/>
      <c r="N192" s="899"/>
      <c r="O192" s="831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8"/>
      <c r="AM192" s="328"/>
      <c r="AN192" s="328"/>
      <c r="AO192" s="328"/>
      <c r="AP192" s="328"/>
      <c r="AQ192" s="328"/>
      <c r="AR192" s="328"/>
      <c r="AS192" s="328"/>
      <c r="AT192" s="328"/>
      <c r="AU192" s="328"/>
      <c r="AV192" s="328"/>
      <c r="AW192" s="328"/>
      <c r="AX192" s="328"/>
      <c r="AY192" s="328"/>
      <c r="AZ192" s="328"/>
      <c r="BA192" s="328"/>
      <c r="BB192" s="328"/>
      <c r="BC192" s="328"/>
      <c r="BD192" s="328"/>
      <c r="BE192" s="329"/>
    </row>
    <row r="193" spans="1:57" s="330" customFormat="1" ht="12.75" customHeight="1" x14ac:dyDescent="0.2">
      <c r="A193" s="655"/>
      <c r="B193" s="896"/>
      <c r="C193" s="350"/>
      <c r="D193" s="331">
        <v>2021</v>
      </c>
      <c r="E193" s="332">
        <f>F193+G193+H193+I193+J193</f>
        <v>45.4666</v>
      </c>
      <c r="F193" s="332">
        <v>5.9107000000000003</v>
      </c>
      <c r="G193" s="332">
        <v>0</v>
      </c>
      <c r="H193" s="332">
        <v>39.555900000000001</v>
      </c>
      <c r="I193" s="332">
        <v>0</v>
      </c>
      <c r="J193" s="332">
        <v>0</v>
      </c>
      <c r="K193" s="325"/>
      <c r="L193" s="351"/>
      <c r="M193" s="326"/>
      <c r="N193" s="352"/>
      <c r="O193" s="831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8"/>
      <c r="AM193" s="328"/>
      <c r="AN193" s="328"/>
      <c r="AO193" s="328"/>
      <c r="AP193" s="328"/>
      <c r="AQ193" s="328"/>
      <c r="AR193" s="328"/>
      <c r="AS193" s="328"/>
      <c r="AT193" s="328"/>
      <c r="AU193" s="328"/>
      <c r="AV193" s="328"/>
      <c r="AW193" s="328"/>
      <c r="AX193" s="328"/>
      <c r="AY193" s="328"/>
      <c r="AZ193" s="328"/>
      <c r="BA193" s="328"/>
      <c r="BB193" s="328"/>
      <c r="BC193" s="328"/>
      <c r="BD193" s="328"/>
      <c r="BE193" s="329"/>
    </row>
    <row r="194" spans="1:57" s="121" customFormat="1" ht="12.75" customHeight="1" x14ac:dyDescent="0.2">
      <c r="A194" s="879" t="s">
        <v>636</v>
      </c>
      <c r="B194" s="881" t="s">
        <v>870</v>
      </c>
      <c r="C194" s="438"/>
      <c r="D194" s="115" t="s">
        <v>198</v>
      </c>
      <c r="E194" s="124">
        <f>E195</f>
        <v>2.4E-2</v>
      </c>
      <c r="F194" s="124">
        <f t="shared" ref="F194:J194" si="83">F195</f>
        <v>2.4E-2</v>
      </c>
      <c r="G194" s="124">
        <f t="shared" si="83"/>
        <v>0</v>
      </c>
      <c r="H194" s="124">
        <f t="shared" si="83"/>
        <v>0</v>
      </c>
      <c r="I194" s="124">
        <f t="shared" si="83"/>
        <v>0</v>
      </c>
      <c r="J194" s="124">
        <f t="shared" si="83"/>
        <v>0</v>
      </c>
      <c r="K194" s="116">
        <f t="shared" si="62"/>
        <v>2.4E-2</v>
      </c>
      <c r="L194" s="943"/>
      <c r="M194" s="117"/>
      <c r="N194" s="118"/>
      <c r="O194" s="831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20"/>
    </row>
    <row r="195" spans="1:57" s="121" customFormat="1" ht="27.75" customHeight="1" x14ac:dyDescent="0.2">
      <c r="A195" s="880"/>
      <c r="B195" s="882"/>
      <c r="C195" s="439" t="s">
        <v>384</v>
      </c>
      <c r="D195" s="122">
        <v>2019</v>
      </c>
      <c r="E195" s="123">
        <f t="shared" ref="E195" si="84">F195+G195+H195+I195+J195</f>
        <v>2.4E-2</v>
      </c>
      <c r="F195" s="123">
        <v>2.4E-2</v>
      </c>
      <c r="G195" s="123">
        <v>0</v>
      </c>
      <c r="H195" s="123">
        <v>0</v>
      </c>
      <c r="I195" s="123">
        <v>0</v>
      </c>
      <c r="J195" s="123">
        <v>0</v>
      </c>
      <c r="K195" s="116">
        <f t="shared" si="62"/>
        <v>2.4E-2</v>
      </c>
      <c r="L195" s="944"/>
      <c r="M195" s="117"/>
      <c r="N195" s="118"/>
      <c r="O195" s="831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20"/>
    </row>
    <row r="196" spans="1:57" s="330" customFormat="1" ht="12.75" customHeight="1" x14ac:dyDescent="0.2">
      <c r="A196" s="692" t="s">
        <v>637</v>
      </c>
      <c r="B196" s="688" t="s">
        <v>871</v>
      </c>
      <c r="C196" s="954" t="s">
        <v>384</v>
      </c>
      <c r="D196" s="323" t="s">
        <v>198</v>
      </c>
      <c r="E196" s="324">
        <f>E197</f>
        <v>2.3458999999999999</v>
      </c>
      <c r="F196" s="324">
        <f t="shared" ref="F196:J196" si="85">F197</f>
        <v>2.3458999999999999</v>
      </c>
      <c r="G196" s="324">
        <f t="shared" si="85"/>
        <v>0</v>
      </c>
      <c r="H196" s="324">
        <f t="shared" si="85"/>
        <v>0</v>
      </c>
      <c r="I196" s="324">
        <f t="shared" si="85"/>
        <v>0</v>
      </c>
      <c r="J196" s="324">
        <f t="shared" si="85"/>
        <v>0</v>
      </c>
      <c r="K196" s="325">
        <f t="shared" si="62"/>
        <v>2.3458999999999999</v>
      </c>
      <c r="L196" s="354"/>
      <c r="M196" s="326"/>
      <c r="N196" s="327"/>
      <c r="O196" s="831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328"/>
      <c r="AQ196" s="328"/>
      <c r="AR196" s="328"/>
      <c r="AS196" s="328"/>
      <c r="AT196" s="328"/>
      <c r="AU196" s="328"/>
      <c r="AV196" s="328"/>
      <c r="AW196" s="328"/>
      <c r="AX196" s="328"/>
      <c r="AY196" s="328"/>
      <c r="AZ196" s="328"/>
      <c r="BA196" s="328"/>
      <c r="BB196" s="328"/>
      <c r="BC196" s="328"/>
      <c r="BD196" s="328"/>
      <c r="BE196" s="329"/>
    </row>
    <row r="197" spans="1:57" s="330" customFormat="1" ht="12.75" customHeight="1" x14ac:dyDescent="0.2">
      <c r="A197" s="654"/>
      <c r="B197" s="689"/>
      <c r="C197" s="955"/>
      <c r="D197" s="331">
        <v>2019</v>
      </c>
      <c r="E197" s="332">
        <f t="shared" ref="E197" si="86">F197+G197+H197+I197+J197</f>
        <v>2.3458999999999999</v>
      </c>
      <c r="F197" s="332">
        <v>2.3458999999999999</v>
      </c>
      <c r="G197" s="332">
        <v>0</v>
      </c>
      <c r="H197" s="332">
        <v>0</v>
      </c>
      <c r="I197" s="332">
        <v>0</v>
      </c>
      <c r="J197" s="332">
        <v>0</v>
      </c>
      <c r="K197" s="325">
        <f t="shared" si="62"/>
        <v>2.3458999999999999</v>
      </c>
      <c r="L197" s="354"/>
      <c r="M197" s="326"/>
      <c r="N197" s="327"/>
      <c r="O197" s="831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328"/>
      <c r="AQ197" s="328"/>
      <c r="AR197" s="328"/>
      <c r="AS197" s="328"/>
      <c r="AT197" s="328"/>
      <c r="AU197" s="328"/>
      <c r="AV197" s="328"/>
      <c r="AW197" s="328"/>
      <c r="AX197" s="328"/>
      <c r="AY197" s="328"/>
      <c r="AZ197" s="328"/>
      <c r="BA197" s="328"/>
      <c r="BB197" s="328"/>
      <c r="BC197" s="328"/>
      <c r="BD197" s="328"/>
      <c r="BE197" s="329"/>
    </row>
    <row r="198" spans="1:57" s="131" customFormat="1" ht="12.75" customHeight="1" x14ac:dyDescent="0.2">
      <c r="A198" s="645" t="s">
        <v>638</v>
      </c>
      <c r="B198" s="660" t="s">
        <v>555</v>
      </c>
      <c r="C198" s="643" t="s">
        <v>970</v>
      </c>
      <c r="D198" s="125" t="s">
        <v>198</v>
      </c>
      <c r="E198" s="126">
        <f>E199+E200</f>
        <v>14.333299999999999</v>
      </c>
      <c r="F198" s="126">
        <f t="shared" ref="F198:J198" si="87">F199+F200</f>
        <v>1.0332999999999999</v>
      </c>
      <c r="G198" s="126">
        <f t="shared" si="87"/>
        <v>0</v>
      </c>
      <c r="H198" s="126">
        <f t="shared" si="87"/>
        <v>13.3</v>
      </c>
      <c r="I198" s="126">
        <f t="shared" si="87"/>
        <v>0</v>
      </c>
      <c r="J198" s="126">
        <f t="shared" si="87"/>
        <v>0</v>
      </c>
      <c r="K198" s="136">
        <f t="shared" si="62"/>
        <v>14.333300000000001</v>
      </c>
      <c r="L198" s="134"/>
      <c r="M198" s="127"/>
      <c r="N198" s="128"/>
      <c r="O198" s="831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30"/>
    </row>
    <row r="199" spans="1:57" s="131" customFormat="1" ht="12.75" customHeight="1" x14ac:dyDescent="0.2">
      <c r="A199" s="646"/>
      <c r="B199" s="883"/>
      <c r="C199" s="940"/>
      <c r="D199" s="132">
        <v>2026</v>
      </c>
      <c r="E199" s="133">
        <f t="shared" ref="E199:E200" si="88">F199+G199+H199+I199+J199</f>
        <v>0.33329999999999999</v>
      </c>
      <c r="F199" s="133">
        <v>0.33329999999999999</v>
      </c>
      <c r="G199" s="133">
        <v>0</v>
      </c>
      <c r="H199" s="133">
        <v>0</v>
      </c>
      <c r="I199" s="133">
        <v>0</v>
      </c>
      <c r="J199" s="133">
        <v>0</v>
      </c>
      <c r="K199" s="136">
        <f t="shared" si="62"/>
        <v>0.33329999999999999</v>
      </c>
      <c r="L199" s="134"/>
      <c r="M199" s="127"/>
      <c r="N199" s="128"/>
      <c r="O199" s="831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30"/>
    </row>
    <row r="200" spans="1:57" s="131" customFormat="1" ht="12.75" customHeight="1" x14ac:dyDescent="0.2">
      <c r="A200" s="659"/>
      <c r="B200" s="299"/>
      <c r="C200" s="940"/>
      <c r="D200" s="132">
        <v>2027</v>
      </c>
      <c r="E200" s="133">
        <f t="shared" si="88"/>
        <v>14</v>
      </c>
      <c r="F200" s="133">
        <v>0.7</v>
      </c>
      <c r="G200" s="133">
        <v>0</v>
      </c>
      <c r="H200" s="133">
        <v>13.3</v>
      </c>
      <c r="I200" s="133">
        <v>0</v>
      </c>
      <c r="J200" s="133">
        <v>0</v>
      </c>
      <c r="K200" s="136">
        <f t="shared" si="62"/>
        <v>14</v>
      </c>
      <c r="L200" s="134"/>
      <c r="M200" s="127"/>
      <c r="N200" s="128"/>
      <c r="O200" s="831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30"/>
    </row>
    <row r="201" spans="1:57" s="131" customFormat="1" ht="12.75" customHeight="1" x14ac:dyDescent="0.2">
      <c r="A201" s="645" t="s">
        <v>639</v>
      </c>
      <c r="B201" s="660" t="s">
        <v>556</v>
      </c>
      <c r="C201" s="671"/>
      <c r="D201" s="125" t="s">
        <v>198</v>
      </c>
      <c r="E201" s="126">
        <f>E202+E203</f>
        <v>14.333299999999999</v>
      </c>
      <c r="F201" s="126">
        <f t="shared" ref="F201:J201" si="89">F202+F203</f>
        <v>1.0332999999999999</v>
      </c>
      <c r="G201" s="126">
        <f t="shared" si="89"/>
        <v>0</v>
      </c>
      <c r="H201" s="126">
        <f t="shared" si="89"/>
        <v>13.3</v>
      </c>
      <c r="I201" s="126">
        <f t="shared" si="89"/>
        <v>0</v>
      </c>
      <c r="J201" s="126">
        <f t="shared" si="89"/>
        <v>0</v>
      </c>
      <c r="K201" s="136">
        <f t="shared" si="62"/>
        <v>14.333300000000001</v>
      </c>
      <c r="L201" s="134"/>
      <c r="M201" s="127"/>
      <c r="N201" s="128"/>
      <c r="O201" s="831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30"/>
    </row>
    <row r="202" spans="1:57" s="131" customFormat="1" ht="12.75" customHeight="1" x14ac:dyDescent="0.2">
      <c r="A202" s="659"/>
      <c r="B202" s="661"/>
      <c r="C202" s="671"/>
      <c r="D202" s="132">
        <v>2026</v>
      </c>
      <c r="E202" s="133">
        <f t="shared" ref="E202:E203" si="90">F202+G202+H202+I202+J202</f>
        <v>0.33329999999999999</v>
      </c>
      <c r="F202" s="133">
        <v>0.33329999999999999</v>
      </c>
      <c r="G202" s="133">
        <v>0</v>
      </c>
      <c r="H202" s="133">
        <v>0</v>
      </c>
      <c r="I202" s="133">
        <v>0</v>
      </c>
      <c r="J202" s="133">
        <v>0</v>
      </c>
      <c r="K202" s="136">
        <f t="shared" si="62"/>
        <v>0.33329999999999999</v>
      </c>
      <c r="L202" s="134"/>
      <c r="M202" s="127"/>
      <c r="N202" s="128"/>
      <c r="O202" s="831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30"/>
    </row>
    <row r="203" spans="1:57" s="131" customFormat="1" ht="12.75" customHeight="1" x14ac:dyDescent="0.2">
      <c r="A203" s="697" t="s">
        <v>640</v>
      </c>
      <c r="B203" s="299"/>
      <c r="C203" s="671"/>
      <c r="D203" s="132">
        <v>2027</v>
      </c>
      <c r="E203" s="133">
        <f t="shared" si="90"/>
        <v>14</v>
      </c>
      <c r="F203" s="133">
        <v>0.7</v>
      </c>
      <c r="G203" s="133">
        <v>0</v>
      </c>
      <c r="H203" s="133">
        <v>13.3</v>
      </c>
      <c r="I203" s="133">
        <v>0</v>
      </c>
      <c r="J203" s="133">
        <v>0</v>
      </c>
      <c r="K203" s="136">
        <f t="shared" si="62"/>
        <v>14</v>
      </c>
      <c r="L203" s="134"/>
      <c r="M203" s="127"/>
      <c r="N203" s="128"/>
      <c r="O203" s="831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30"/>
    </row>
    <row r="204" spans="1:57" s="131" customFormat="1" ht="15.75" customHeight="1" x14ac:dyDescent="0.2">
      <c r="A204" s="717"/>
      <c r="B204" s="883" t="s">
        <v>557</v>
      </c>
      <c r="C204" s="302"/>
      <c r="D204" s="125" t="s">
        <v>198</v>
      </c>
      <c r="E204" s="126">
        <f>E205+E206</f>
        <v>18.7499</v>
      </c>
      <c r="F204" s="126">
        <f t="shared" ref="F204:H204" si="91">F205+F206</f>
        <v>1.2541</v>
      </c>
      <c r="G204" s="126">
        <f t="shared" si="91"/>
        <v>0</v>
      </c>
      <c r="H204" s="126">
        <f t="shared" si="91"/>
        <v>17.495799999999999</v>
      </c>
      <c r="I204" s="126">
        <v>0</v>
      </c>
      <c r="J204" s="126">
        <v>0</v>
      </c>
      <c r="K204" s="136">
        <f t="shared" si="62"/>
        <v>18.7499</v>
      </c>
      <c r="L204" s="134"/>
      <c r="M204" s="127"/>
      <c r="N204" s="128"/>
      <c r="O204" s="831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30"/>
    </row>
    <row r="205" spans="1:57" s="131" customFormat="1" x14ac:dyDescent="0.2">
      <c r="A205" s="717"/>
      <c r="B205" s="883"/>
      <c r="C205" s="302"/>
      <c r="D205" s="132">
        <v>2026</v>
      </c>
      <c r="E205" s="133">
        <f>F205+G205+H205+I205+J205</f>
        <v>0.33329999999999999</v>
      </c>
      <c r="F205" s="133">
        <v>0.33329999999999999</v>
      </c>
      <c r="G205" s="133">
        <v>0</v>
      </c>
      <c r="H205" s="133">
        <v>0</v>
      </c>
      <c r="I205" s="133">
        <v>0</v>
      </c>
      <c r="J205" s="133">
        <v>0</v>
      </c>
      <c r="K205" s="136">
        <f t="shared" si="62"/>
        <v>0.33329999999999999</v>
      </c>
      <c r="L205" s="134"/>
      <c r="M205" s="127"/>
      <c r="N205" s="128"/>
      <c r="O205" s="831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30"/>
    </row>
    <row r="206" spans="1:57" s="131" customFormat="1" x14ac:dyDescent="0.2">
      <c r="A206" s="734"/>
      <c r="B206" s="661"/>
      <c r="C206" s="302"/>
      <c r="D206" s="132">
        <v>2027</v>
      </c>
      <c r="E206" s="133">
        <f>F206+G206+H206+I206+J206</f>
        <v>18.416599999999999</v>
      </c>
      <c r="F206" s="133">
        <v>0.92079999999999995</v>
      </c>
      <c r="G206" s="133">
        <v>0</v>
      </c>
      <c r="H206" s="133">
        <v>17.495799999999999</v>
      </c>
      <c r="I206" s="133">
        <v>0</v>
      </c>
      <c r="J206" s="133">
        <v>0</v>
      </c>
      <c r="K206" s="136">
        <f t="shared" si="62"/>
        <v>18.416599999999999</v>
      </c>
      <c r="L206" s="134"/>
      <c r="M206" s="127"/>
      <c r="N206" s="128"/>
      <c r="O206" s="831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30"/>
    </row>
    <row r="207" spans="1:57" s="131" customFormat="1" ht="12.75" customHeight="1" x14ac:dyDescent="0.2">
      <c r="A207" s="645" t="s">
        <v>641</v>
      </c>
      <c r="B207" s="660" t="s">
        <v>866</v>
      </c>
      <c r="C207" s="308"/>
      <c r="D207" s="125" t="s">
        <v>198</v>
      </c>
      <c r="E207" s="126">
        <f>E208</f>
        <v>0.33329999999999999</v>
      </c>
      <c r="F207" s="126">
        <f t="shared" ref="F207:H207" si="92">F208</f>
        <v>0.33329999999999999</v>
      </c>
      <c r="G207" s="126">
        <f t="shared" si="92"/>
        <v>0</v>
      </c>
      <c r="H207" s="126">
        <f t="shared" si="92"/>
        <v>0</v>
      </c>
      <c r="I207" s="126">
        <v>0</v>
      </c>
      <c r="J207" s="126">
        <v>0</v>
      </c>
      <c r="K207" s="136">
        <f t="shared" si="62"/>
        <v>0.33329999999999999</v>
      </c>
      <c r="L207" s="134"/>
      <c r="M207" s="127"/>
      <c r="N207" s="128"/>
      <c r="O207" s="831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30"/>
    </row>
    <row r="208" spans="1:57" s="131" customFormat="1" ht="12.75" customHeight="1" x14ac:dyDescent="0.2">
      <c r="A208" s="646"/>
      <c r="B208" s="883"/>
      <c r="C208" s="308"/>
      <c r="D208" s="132">
        <v>2026</v>
      </c>
      <c r="E208" s="133">
        <f>F208+G208+H208+I208+J208</f>
        <v>0.33329999999999999</v>
      </c>
      <c r="F208" s="133">
        <v>0.33329999999999999</v>
      </c>
      <c r="G208" s="133">
        <v>0</v>
      </c>
      <c r="H208" s="133">
        <v>0</v>
      </c>
      <c r="I208" s="133">
        <v>0</v>
      </c>
      <c r="J208" s="133">
        <v>0</v>
      </c>
      <c r="K208" s="136">
        <f t="shared" si="62"/>
        <v>0.33329999999999999</v>
      </c>
      <c r="L208" s="134"/>
      <c r="M208" s="127"/>
      <c r="N208" s="128"/>
      <c r="O208" s="831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30"/>
    </row>
    <row r="209" spans="1:57" s="131" customFormat="1" ht="12.75" customHeight="1" x14ac:dyDescent="0.2">
      <c r="A209" s="309"/>
      <c r="B209" s="316"/>
      <c r="C209" s="308"/>
      <c r="D209" s="132">
        <v>2027</v>
      </c>
      <c r="E209" s="133">
        <f>F209+G209+H209+I209+J209</f>
        <v>12.166599999999999</v>
      </c>
      <c r="F209" s="133">
        <v>0.60829999999999995</v>
      </c>
      <c r="G209" s="133">
        <v>0</v>
      </c>
      <c r="H209" s="133">
        <v>11.558299999999999</v>
      </c>
      <c r="I209" s="133">
        <v>0</v>
      </c>
      <c r="J209" s="133">
        <v>0</v>
      </c>
      <c r="K209" s="136"/>
      <c r="L209" s="134"/>
      <c r="M209" s="127"/>
      <c r="N209" s="128"/>
      <c r="O209" s="831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30"/>
    </row>
    <row r="210" spans="1:57" s="131" customFormat="1" ht="12.75" customHeight="1" x14ac:dyDescent="0.2">
      <c r="A210" s="645" t="s">
        <v>642</v>
      </c>
      <c r="B210" s="660" t="s">
        <v>558</v>
      </c>
      <c r="C210" s="302"/>
      <c r="D210" s="125" t="s">
        <v>198</v>
      </c>
      <c r="E210" s="126">
        <f>E211+E212</f>
        <v>19.999999999999996</v>
      </c>
      <c r="F210" s="126">
        <f t="shared" ref="F210:J210" si="93">F211+F212</f>
        <v>0.94</v>
      </c>
      <c r="G210" s="126">
        <f t="shared" si="93"/>
        <v>0</v>
      </c>
      <c r="H210" s="126">
        <f t="shared" si="93"/>
        <v>19.059999999999999</v>
      </c>
      <c r="I210" s="126">
        <f t="shared" si="93"/>
        <v>0</v>
      </c>
      <c r="J210" s="126">
        <f t="shared" si="93"/>
        <v>0</v>
      </c>
      <c r="K210" s="136">
        <f t="shared" si="62"/>
        <v>20</v>
      </c>
      <c r="L210" s="134"/>
      <c r="M210" s="127"/>
      <c r="N210" s="128"/>
      <c r="O210" s="831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30"/>
    </row>
    <row r="211" spans="1:57" s="131" customFormat="1" ht="12.75" customHeight="1" x14ac:dyDescent="0.2">
      <c r="A211" s="646"/>
      <c r="B211" s="883"/>
      <c r="C211" s="302"/>
      <c r="D211" s="132">
        <v>2026</v>
      </c>
      <c r="E211" s="133">
        <f>F211</f>
        <v>0.2</v>
      </c>
      <c r="F211" s="133">
        <v>0.2</v>
      </c>
      <c r="G211" s="133">
        <v>0</v>
      </c>
      <c r="H211" s="133">
        <v>0</v>
      </c>
      <c r="I211" s="133">
        <v>0</v>
      </c>
      <c r="J211" s="133">
        <v>0</v>
      </c>
      <c r="K211" s="136">
        <f t="shared" si="62"/>
        <v>0.2</v>
      </c>
      <c r="L211" s="134"/>
      <c r="M211" s="127"/>
      <c r="N211" s="128"/>
      <c r="O211" s="831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30"/>
    </row>
    <row r="212" spans="1:57" s="131" customFormat="1" ht="12.75" customHeight="1" x14ac:dyDescent="0.2">
      <c r="A212" s="659"/>
      <c r="B212" s="661"/>
      <c r="C212" s="302"/>
      <c r="D212" s="132">
        <v>2027</v>
      </c>
      <c r="E212" s="133">
        <f t="shared" ref="E212" si="94">F212+G212+H212+I212+J212</f>
        <v>19.799999999999997</v>
      </c>
      <c r="F212" s="133">
        <v>0.74</v>
      </c>
      <c r="G212" s="133">
        <v>0</v>
      </c>
      <c r="H212" s="133">
        <v>19.059999999999999</v>
      </c>
      <c r="I212" s="133">
        <v>0</v>
      </c>
      <c r="J212" s="133">
        <v>0</v>
      </c>
      <c r="K212" s="136">
        <f t="shared" si="62"/>
        <v>19.799999999999997</v>
      </c>
      <c r="L212" s="134"/>
      <c r="M212" s="127"/>
      <c r="N212" s="128"/>
      <c r="O212" s="831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30"/>
    </row>
    <row r="213" spans="1:57" s="131" customFormat="1" ht="12.75" customHeight="1" x14ac:dyDescent="0.2">
      <c r="A213" s="645" t="s">
        <v>643</v>
      </c>
      <c r="B213" s="660" t="s">
        <v>559</v>
      </c>
      <c r="C213" s="302"/>
      <c r="D213" s="125" t="s">
        <v>198</v>
      </c>
      <c r="E213" s="126">
        <f>E214+E215</f>
        <v>16.25</v>
      </c>
      <c r="F213" s="126">
        <f t="shared" ref="F213:J213" si="95">F214+F215</f>
        <v>1.05</v>
      </c>
      <c r="G213" s="126">
        <f t="shared" si="95"/>
        <v>0</v>
      </c>
      <c r="H213" s="126">
        <f t="shared" si="95"/>
        <v>15.2</v>
      </c>
      <c r="I213" s="126">
        <f t="shared" si="95"/>
        <v>0</v>
      </c>
      <c r="J213" s="126">
        <f t="shared" si="95"/>
        <v>0</v>
      </c>
      <c r="K213" s="136">
        <f t="shared" si="62"/>
        <v>16.25</v>
      </c>
      <c r="L213" s="134"/>
      <c r="M213" s="127"/>
      <c r="N213" s="128"/>
      <c r="O213" s="831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30"/>
    </row>
    <row r="214" spans="1:57" s="131" customFormat="1" ht="12.75" customHeight="1" x14ac:dyDescent="0.2">
      <c r="A214" s="646"/>
      <c r="B214" s="883"/>
      <c r="C214" s="302"/>
      <c r="D214" s="132">
        <v>2026</v>
      </c>
      <c r="E214" s="133">
        <f>F214</f>
        <v>0.25</v>
      </c>
      <c r="F214" s="133">
        <v>0.25</v>
      </c>
      <c r="G214" s="133">
        <v>0</v>
      </c>
      <c r="H214" s="133">
        <v>0</v>
      </c>
      <c r="I214" s="133">
        <v>0</v>
      </c>
      <c r="J214" s="133">
        <v>0</v>
      </c>
      <c r="K214" s="136">
        <f t="shared" si="62"/>
        <v>0.25</v>
      </c>
      <c r="L214" s="134"/>
      <c r="M214" s="127"/>
      <c r="N214" s="128"/>
      <c r="O214" s="831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30"/>
    </row>
    <row r="215" spans="1:57" s="131" customFormat="1" ht="12.75" customHeight="1" x14ac:dyDescent="0.2">
      <c r="A215" s="659"/>
      <c r="B215" s="661"/>
      <c r="C215" s="302"/>
      <c r="D215" s="132">
        <v>2027</v>
      </c>
      <c r="E215" s="133">
        <f t="shared" ref="E215" si="96">F215+G215+H215+I215+J215</f>
        <v>16</v>
      </c>
      <c r="F215" s="133">
        <v>0.8</v>
      </c>
      <c r="G215" s="133">
        <v>0</v>
      </c>
      <c r="H215" s="133">
        <v>15.2</v>
      </c>
      <c r="I215" s="133">
        <v>0</v>
      </c>
      <c r="J215" s="133">
        <v>0</v>
      </c>
      <c r="K215" s="136">
        <f t="shared" si="62"/>
        <v>16</v>
      </c>
      <c r="L215" s="134"/>
      <c r="M215" s="127"/>
      <c r="N215" s="128"/>
      <c r="O215" s="831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30"/>
    </row>
    <row r="216" spans="1:57" s="131" customFormat="1" ht="12.75" customHeight="1" x14ac:dyDescent="0.2">
      <c r="A216" s="645" t="s">
        <v>644</v>
      </c>
      <c r="B216" s="660" t="s">
        <v>560</v>
      </c>
      <c r="C216" s="302"/>
      <c r="D216" s="125" t="s">
        <v>198</v>
      </c>
      <c r="E216" s="126">
        <f>E218+E217</f>
        <v>16.25</v>
      </c>
      <c r="F216" s="126">
        <f t="shared" ref="F216:J216" si="97">F218+F217</f>
        <v>1.05</v>
      </c>
      <c r="G216" s="126">
        <f t="shared" si="97"/>
        <v>0</v>
      </c>
      <c r="H216" s="126">
        <f t="shared" si="97"/>
        <v>15.2</v>
      </c>
      <c r="I216" s="126">
        <f t="shared" si="97"/>
        <v>0</v>
      </c>
      <c r="J216" s="126">
        <f t="shared" si="97"/>
        <v>0</v>
      </c>
      <c r="K216" s="136">
        <f t="shared" si="62"/>
        <v>16.25</v>
      </c>
      <c r="L216" s="134"/>
      <c r="M216" s="127"/>
      <c r="N216" s="128"/>
      <c r="O216" s="831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30"/>
    </row>
    <row r="217" spans="1:57" s="131" customFormat="1" ht="12.75" customHeight="1" x14ac:dyDescent="0.2">
      <c r="A217" s="646"/>
      <c r="B217" s="902"/>
      <c r="C217" s="302"/>
      <c r="D217" s="132">
        <v>2026</v>
      </c>
      <c r="E217" s="133">
        <f>F217</f>
        <v>0.25</v>
      </c>
      <c r="F217" s="133">
        <v>0.25</v>
      </c>
      <c r="G217" s="133">
        <v>0</v>
      </c>
      <c r="H217" s="133">
        <v>0</v>
      </c>
      <c r="I217" s="133">
        <v>0</v>
      </c>
      <c r="J217" s="133">
        <v>0</v>
      </c>
      <c r="K217" s="136">
        <f t="shared" si="62"/>
        <v>0.25</v>
      </c>
      <c r="L217" s="134"/>
      <c r="M217" s="127"/>
      <c r="N217" s="128"/>
      <c r="O217" s="831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30"/>
    </row>
    <row r="218" spans="1:57" s="131" customFormat="1" ht="12.75" customHeight="1" x14ac:dyDescent="0.2">
      <c r="A218" s="659"/>
      <c r="B218" s="918"/>
      <c r="C218" s="302"/>
      <c r="D218" s="132">
        <v>2027</v>
      </c>
      <c r="E218" s="133">
        <f>F218+G218+H218</f>
        <v>16</v>
      </c>
      <c r="F218" s="133">
        <v>0.8</v>
      </c>
      <c r="G218" s="133">
        <v>0</v>
      </c>
      <c r="H218" s="133">
        <v>15.2</v>
      </c>
      <c r="I218" s="133">
        <v>0</v>
      </c>
      <c r="J218" s="133">
        <v>0</v>
      </c>
      <c r="K218" s="136">
        <f t="shared" ref="K218:K259" si="98">F218+G218+H218+I218+J218</f>
        <v>16</v>
      </c>
      <c r="L218" s="134"/>
      <c r="M218" s="127"/>
      <c r="N218" s="128"/>
      <c r="O218" s="831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30"/>
    </row>
    <row r="219" spans="1:57" s="131" customFormat="1" ht="12.75" customHeight="1" x14ac:dyDescent="0.2">
      <c r="A219" s="645" t="s">
        <v>645</v>
      </c>
      <c r="B219" s="660" t="s">
        <v>561</v>
      </c>
      <c r="C219" s="302"/>
      <c r="D219" s="125" t="s">
        <v>198</v>
      </c>
      <c r="E219" s="126">
        <f>E221+E220</f>
        <v>22.5</v>
      </c>
      <c r="F219" s="126">
        <f t="shared" ref="F219:J219" si="99">F221+F220</f>
        <v>1.5049999999999999</v>
      </c>
      <c r="G219" s="126">
        <f t="shared" si="99"/>
        <v>0</v>
      </c>
      <c r="H219" s="126">
        <f t="shared" si="99"/>
        <v>20.995000000000001</v>
      </c>
      <c r="I219" s="126">
        <f t="shared" si="99"/>
        <v>0</v>
      </c>
      <c r="J219" s="126">
        <f t="shared" si="99"/>
        <v>0</v>
      </c>
      <c r="K219" s="136">
        <f t="shared" si="98"/>
        <v>22.5</v>
      </c>
      <c r="L219" s="134"/>
      <c r="M219" s="127"/>
      <c r="N219" s="128"/>
      <c r="O219" s="831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30"/>
    </row>
    <row r="220" spans="1:57" s="131" customFormat="1" ht="12.75" customHeight="1" x14ac:dyDescent="0.2">
      <c r="A220" s="646"/>
      <c r="B220" s="883"/>
      <c r="C220" s="302"/>
      <c r="D220" s="132">
        <v>2026</v>
      </c>
      <c r="E220" s="133">
        <f>F220</f>
        <v>0.4</v>
      </c>
      <c r="F220" s="133">
        <v>0.4</v>
      </c>
      <c r="G220" s="133">
        <v>0</v>
      </c>
      <c r="H220" s="133">
        <v>0</v>
      </c>
      <c r="I220" s="133">
        <v>0</v>
      </c>
      <c r="J220" s="133">
        <v>0</v>
      </c>
      <c r="K220" s="136">
        <f t="shared" si="98"/>
        <v>0.4</v>
      </c>
      <c r="L220" s="134"/>
      <c r="M220" s="127"/>
      <c r="N220" s="128"/>
      <c r="O220" s="831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30"/>
    </row>
    <row r="221" spans="1:57" s="131" customFormat="1" ht="12.75" customHeight="1" x14ac:dyDescent="0.2">
      <c r="A221" s="659"/>
      <c r="B221" s="661"/>
      <c r="C221" s="302"/>
      <c r="D221" s="132">
        <v>2027</v>
      </c>
      <c r="E221" s="133">
        <f t="shared" ref="E221" si="100">F221+G221+H221+I221+J221</f>
        <v>22.1</v>
      </c>
      <c r="F221" s="133">
        <v>1.105</v>
      </c>
      <c r="G221" s="133">
        <v>0</v>
      </c>
      <c r="H221" s="133">
        <v>20.995000000000001</v>
      </c>
      <c r="I221" s="133">
        <v>0</v>
      </c>
      <c r="J221" s="133">
        <v>0</v>
      </c>
      <c r="K221" s="136">
        <f t="shared" si="98"/>
        <v>22.1</v>
      </c>
      <c r="L221" s="134"/>
      <c r="M221" s="127"/>
      <c r="N221" s="128"/>
      <c r="O221" s="831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30"/>
    </row>
    <row r="222" spans="1:57" s="330" customFormat="1" ht="12.75" customHeight="1" x14ac:dyDescent="0.2">
      <c r="A222" s="692" t="s">
        <v>646</v>
      </c>
      <c r="B222" s="688" t="s">
        <v>1077</v>
      </c>
      <c r="C222" s="952" t="s">
        <v>384</v>
      </c>
      <c r="D222" s="323" t="s">
        <v>198</v>
      </c>
      <c r="E222" s="324">
        <f>E223</f>
        <v>2.4718</v>
      </c>
      <c r="F222" s="324">
        <f t="shared" ref="F222:J222" si="101">F223</f>
        <v>2.4718</v>
      </c>
      <c r="G222" s="324">
        <f t="shared" si="101"/>
        <v>0</v>
      </c>
      <c r="H222" s="324">
        <f t="shared" si="101"/>
        <v>0</v>
      </c>
      <c r="I222" s="324">
        <f t="shared" si="101"/>
        <v>0</v>
      </c>
      <c r="J222" s="324">
        <f t="shared" si="101"/>
        <v>0</v>
      </c>
      <c r="K222" s="325">
        <f t="shared" si="98"/>
        <v>2.4718</v>
      </c>
      <c r="L222" s="354"/>
      <c r="M222" s="326"/>
      <c r="N222" s="327"/>
      <c r="O222" s="831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8"/>
      <c r="AW222" s="328"/>
      <c r="AX222" s="328"/>
      <c r="AY222" s="328"/>
      <c r="AZ222" s="328"/>
      <c r="BA222" s="328"/>
      <c r="BB222" s="328"/>
      <c r="BC222" s="328"/>
      <c r="BD222" s="328"/>
      <c r="BE222" s="329"/>
    </row>
    <row r="223" spans="1:57" s="330" customFormat="1" ht="12.75" customHeight="1" x14ac:dyDescent="0.2">
      <c r="A223" s="654"/>
      <c r="B223" s="689"/>
      <c r="C223" s="953"/>
      <c r="D223" s="331">
        <v>2019</v>
      </c>
      <c r="E223" s="332">
        <f>F223</f>
        <v>2.4718</v>
      </c>
      <c r="F223" s="332">
        <v>2.4718</v>
      </c>
      <c r="G223" s="332">
        <v>0</v>
      </c>
      <c r="H223" s="332">
        <v>0</v>
      </c>
      <c r="I223" s="332">
        <v>0</v>
      </c>
      <c r="J223" s="332">
        <v>0</v>
      </c>
      <c r="K223" s="325">
        <f t="shared" si="98"/>
        <v>2.4718</v>
      </c>
      <c r="L223" s="354"/>
      <c r="M223" s="326"/>
      <c r="N223" s="327"/>
      <c r="O223" s="831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328"/>
      <c r="AI223" s="328"/>
      <c r="AJ223" s="328"/>
      <c r="AK223" s="328"/>
      <c r="AL223" s="328"/>
      <c r="AM223" s="328"/>
      <c r="AN223" s="328"/>
      <c r="AO223" s="328"/>
      <c r="AP223" s="328"/>
      <c r="AQ223" s="328"/>
      <c r="AR223" s="328"/>
      <c r="AS223" s="328"/>
      <c r="AT223" s="328"/>
      <c r="AU223" s="328"/>
      <c r="AV223" s="328"/>
      <c r="AW223" s="328"/>
      <c r="AX223" s="328"/>
      <c r="AY223" s="328"/>
      <c r="AZ223" s="328"/>
      <c r="BA223" s="328"/>
      <c r="BB223" s="328"/>
      <c r="BC223" s="328"/>
      <c r="BD223" s="328"/>
      <c r="BE223" s="329"/>
    </row>
    <row r="224" spans="1:57" s="121" customFormat="1" ht="12.75" customHeight="1" x14ac:dyDescent="0.2">
      <c r="A224" s="879" t="s">
        <v>647</v>
      </c>
      <c r="B224" s="881" t="s">
        <v>872</v>
      </c>
      <c r="D224" s="115" t="s">
        <v>198</v>
      </c>
      <c r="E224" s="124">
        <f>E225</f>
        <v>0.32229999999999998</v>
      </c>
      <c r="F224" s="124">
        <f t="shared" ref="F224:J224" si="102">F225</f>
        <v>0.32229999999999998</v>
      </c>
      <c r="G224" s="124">
        <f t="shared" si="102"/>
        <v>0</v>
      </c>
      <c r="H224" s="124">
        <f t="shared" si="102"/>
        <v>0</v>
      </c>
      <c r="I224" s="124">
        <f t="shared" si="102"/>
        <v>0</v>
      </c>
      <c r="J224" s="124">
        <f t="shared" si="102"/>
        <v>0</v>
      </c>
      <c r="K224" s="116">
        <f t="shared" si="98"/>
        <v>0.32229999999999998</v>
      </c>
      <c r="L224" s="437"/>
      <c r="M224" s="117"/>
      <c r="N224" s="118"/>
      <c r="O224" s="831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20"/>
    </row>
    <row r="225" spans="1:57" s="121" customFormat="1" ht="21" customHeight="1" x14ac:dyDescent="0.2">
      <c r="A225" s="880"/>
      <c r="B225" s="882"/>
      <c r="C225" s="459" t="s">
        <v>384</v>
      </c>
      <c r="D225" s="122">
        <v>2019</v>
      </c>
      <c r="E225" s="123">
        <f>F225+G225+H225+I225+J225</f>
        <v>0.32229999999999998</v>
      </c>
      <c r="F225" s="123">
        <v>0.32229999999999998</v>
      </c>
      <c r="G225" s="123">
        <v>0</v>
      </c>
      <c r="H225" s="123">
        <v>0</v>
      </c>
      <c r="I225" s="123">
        <v>0</v>
      </c>
      <c r="J225" s="123">
        <v>0</v>
      </c>
      <c r="K225" s="116">
        <f t="shared" si="98"/>
        <v>0.32229999999999998</v>
      </c>
      <c r="L225" s="437"/>
      <c r="M225" s="117"/>
      <c r="N225" s="118"/>
      <c r="O225" s="831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20"/>
    </row>
    <row r="226" spans="1:57" s="121" customFormat="1" ht="21" customHeight="1" x14ac:dyDescent="0.2">
      <c r="A226" s="457"/>
      <c r="B226" s="458"/>
      <c r="C226" s="465" t="s">
        <v>984</v>
      </c>
      <c r="D226" s="122">
        <v>2020</v>
      </c>
      <c r="E226" s="123">
        <f>F226+G226+H226</f>
        <v>24.802499999999998</v>
      </c>
      <c r="F226" s="123">
        <v>3.2244000000000002</v>
      </c>
      <c r="G226" s="123">
        <v>0</v>
      </c>
      <c r="H226" s="123">
        <v>21.578099999999999</v>
      </c>
      <c r="I226" s="123"/>
      <c r="J226" s="123"/>
      <c r="K226" s="116"/>
      <c r="L226" s="437"/>
      <c r="M226" s="117"/>
      <c r="N226" s="118"/>
      <c r="O226" s="831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20"/>
    </row>
    <row r="227" spans="1:57" s="131" customFormat="1" ht="12.75" customHeight="1" x14ac:dyDescent="0.2">
      <c r="A227" s="645" t="s">
        <v>648</v>
      </c>
      <c r="B227" s="660" t="s">
        <v>766</v>
      </c>
      <c r="C227" s="875" t="s">
        <v>970</v>
      </c>
      <c r="D227" s="125" t="s">
        <v>198</v>
      </c>
      <c r="E227" s="126">
        <f>E228+E229+E230</f>
        <v>83.299970000000002</v>
      </c>
      <c r="F227" s="126">
        <f t="shared" ref="F227:J227" si="103">F228+F229+F230</f>
        <v>11.8714</v>
      </c>
      <c r="G227" s="126">
        <f t="shared" si="103"/>
        <v>0</v>
      </c>
      <c r="H227" s="126">
        <f t="shared" si="103"/>
        <v>71.428570000000008</v>
      </c>
      <c r="I227" s="126">
        <f t="shared" si="103"/>
        <v>0</v>
      </c>
      <c r="J227" s="126">
        <f t="shared" si="103"/>
        <v>0</v>
      </c>
      <c r="K227" s="136">
        <f t="shared" si="98"/>
        <v>83.299970000000002</v>
      </c>
      <c r="L227" s="134"/>
      <c r="M227" s="127"/>
      <c r="N227" s="128"/>
      <c r="O227" s="831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30"/>
    </row>
    <row r="228" spans="1:57" s="131" customFormat="1" ht="12.75" customHeight="1" x14ac:dyDescent="0.2">
      <c r="A228" s="646"/>
      <c r="B228" s="883"/>
      <c r="C228" s="876"/>
      <c r="D228" s="132">
        <v>2026</v>
      </c>
      <c r="E228" s="133">
        <f>F228+G228+H228+I228+J228</f>
        <v>8.3000000000000007</v>
      </c>
      <c r="F228" s="133">
        <v>8.3000000000000007</v>
      </c>
      <c r="G228" s="133">
        <v>0</v>
      </c>
      <c r="H228" s="133">
        <v>0</v>
      </c>
      <c r="I228" s="133">
        <v>0</v>
      </c>
      <c r="J228" s="133">
        <v>0</v>
      </c>
      <c r="K228" s="136">
        <f t="shared" si="98"/>
        <v>8.3000000000000007</v>
      </c>
      <c r="L228" s="134"/>
      <c r="M228" s="127"/>
      <c r="N228" s="128"/>
      <c r="O228" s="831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30"/>
    </row>
    <row r="229" spans="1:57" s="131" customFormat="1" ht="26.25" customHeight="1" x14ac:dyDescent="0.2">
      <c r="A229" s="646"/>
      <c r="B229" s="883"/>
      <c r="C229" s="876"/>
      <c r="D229" s="132">
        <v>2027</v>
      </c>
      <c r="E229" s="133">
        <f t="shared" ref="E229" si="104">F229+G229+H229+I229+J229</f>
        <v>30.817500000000003</v>
      </c>
      <c r="F229" s="133">
        <v>1.4675</v>
      </c>
      <c r="G229" s="133">
        <v>0</v>
      </c>
      <c r="H229" s="133">
        <v>29.35</v>
      </c>
      <c r="I229" s="133">
        <v>0</v>
      </c>
      <c r="J229" s="133">
        <v>0</v>
      </c>
      <c r="K229" s="136">
        <f t="shared" si="98"/>
        <v>30.817500000000003</v>
      </c>
      <c r="L229" s="885" t="s">
        <v>863</v>
      </c>
      <c r="M229" s="127"/>
      <c r="N229" s="128"/>
      <c r="O229" s="831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30"/>
    </row>
    <row r="230" spans="1:57" s="131" customFormat="1" ht="48.75" customHeight="1" x14ac:dyDescent="0.2">
      <c r="A230" s="659"/>
      <c r="B230" s="661"/>
      <c r="C230" s="884"/>
      <c r="D230" s="132">
        <v>2028</v>
      </c>
      <c r="E230" s="133">
        <f>F230+G230+H230+I230+J230</f>
        <v>44.182470000000002</v>
      </c>
      <c r="F230" s="133">
        <v>2.1038999999999999</v>
      </c>
      <c r="G230" s="133">
        <v>0</v>
      </c>
      <c r="H230" s="133">
        <v>42.078569999999999</v>
      </c>
      <c r="I230" s="133">
        <v>0</v>
      </c>
      <c r="J230" s="133">
        <v>0</v>
      </c>
      <c r="K230" s="136">
        <f t="shared" si="98"/>
        <v>44.182470000000002</v>
      </c>
      <c r="L230" s="886"/>
      <c r="M230" s="127"/>
      <c r="N230" s="128"/>
      <c r="O230" s="831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30"/>
    </row>
    <row r="231" spans="1:57" s="330" customFormat="1" ht="12.75" customHeight="1" x14ac:dyDescent="0.2">
      <c r="A231" s="692" t="s">
        <v>649</v>
      </c>
      <c r="B231" s="688" t="s">
        <v>507</v>
      </c>
      <c r="C231" s="656" t="s">
        <v>983</v>
      </c>
      <c r="D231" s="323" t="s">
        <v>198</v>
      </c>
      <c r="E231" s="324">
        <f t="shared" ref="E231:J231" si="105">E232+E233</f>
        <v>527.01469999999995</v>
      </c>
      <c r="F231" s="324">
        <f t="shared" si="105"/>
        <v>29.675199999999997</v>
      </c>
      <c r="G231" s="324">
        <f t="shared" si="105"/>
        <v>0</v>
      </c>
      <c r="H231" s="324">
        <f t="shared" si="105"/>
        <v>497.33949999999999</v>
      </c>
      <c r="I231" s="324">
        <f t="shared" si="105"/>
        <v>0</v>
      </c>
      <c r="J231" s="324">
        <f t="shared" si="105"/>
        <v>0</v>
      </c>
      <c r="K231" s="325">
        <f t="shared" si="98"/>
        <v>527.01469999999995</v>
      </c>
      <c r="L231" s="857" t="s">
        <v>179</v>
      </c>
      <c r="M231" s="326"/>
      <c r="N231" s="327">
        <v>50</v>
      </c>
      <c r="O231" s="831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328"/>
      <c r="AI231" s="328"/>
      <c r="AJ231" s="328"/>
      <c r="AK231" s="328"/>
      <c r="AL231" s="328"/>
      <c r="AM231" s="328"/>
      <c r="AN231" s="328"/>
      <c r="AO231" s="328"/>
      <c r="AP231" s="328"/>
      <c r="AQ231" s="328"/>
      <c r="AR231" s="328"/>
      <c r="AS231" s="328"/>
      <c r="AT231" s="328"/>
      <c r="AU231" s="328"/>
      <c r="AV231" s="328"/>
      <c r="AW231" s="328"/>
      <c r="AX231" s="328"/>
      <c r="AY231" s="328"/>
      <c r="AZ231" s="328"/>
      <c r="BA231" s="328"/>
      <c r="BB231" s="328"/>
      <c r="BC231" s="328"/>
      <c r="BD231" s="328"/>
      <c r="BE231" s="329"/>
    </row>
    <row r="232" spans="1:57" s="330" customFormat="1" ht="97.5" customHeight="1" x14ac:dyDescent="0.2">
      <c r="A232" s="887"/>
      <c r="B232" s="889"/>
      <c r="C232" s="658"/>
      <c r="D232" s="331">
        <v>2019</v>
      </c>
      <c r="E232" s="332">
        <f>F232+G232+H232+I232+J232</f>
        <v>189.26400000000001</v>
      </c>
      <c r="F232" s="332">
        <v>12.787599999999999</v>
      </c>
      <c r="G232" s="332">
        <v>0</v>
      </c>
      <c r="H232" s="332">
        <v>176.47640000000001</v>
      </c>
      <c r="I232" s="332">
        <v>0</v>
      </c>
      <c r="J232" s="332">
        <v>0</v>
      </c>
      <c r="K232" s="325">
        <f t="shared" si="98"/>
        <v>189.26400000000001</v>
      </c>
      <c r="L232" s="891"/>
      <c r="M232" s="356"/>
      <c r="N232" s="357"/>
      <c r="O232" s="831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  <c r="AO232" s="328"/>
      <c r="AP232" s="328"/>
      <c r="AQ232" s="328"/>
      <c r="AR232" s="328"/>
      <c r="AS232" s="328"/>
      <c r="AT232" s="328"/>
      <c r="AU232" s="328"/>
      <c r="AV232" s="328"/>
      <c r="AW232" s="328"/>
      <c r="AX232" s="328"/>
      <c r="AY232" s="328"/>
      <c r="AZ232" s="328"/>
      <c r="BA232" s="328"/>
      <c r="BB232" s="328"/>
      <c r="BC232" s="328"/>
      <c r="BD232" s="328"/>
      <c r="BE232" s="329"/>
    </row>
    <row r="233" spans="1:57" s="330" customFormat="1" ht="22.5" customHeight="1" x14ac:dyDescent="0.2">
      <c r="A233" s="888"/>
      <c r="B233" s="890"/>
      <c r="C233" s="358" t="s">
        <v>984</v>
      </c>
      <c r="D233" s="331">
        <v>2020</v>
      </c>
      <c r="E233" s="332">
        <f t="shared" ref="E233" si="106">F233+G233+H233+I233+J233</f>
        <v>337.75069999999999</v>
      </c>
      <c r="F233" s="332">
        <v>16.887599999999999</v>
      </c>
      <c r="G233" s="332">
        <v>0</v>
      </c>
      <c r="H233" s="332">
        <v>320.86309999999997</v>
      </c>
      <c r="I233" s="332">
        <v>0</v>
      </c>
      <c r="J233" s="332">
        <v>0</v>
      </c>
      <c r="K233" s="325">
        <f t="shared" si="98"/>
        <v>337.75069999999999</v>
      </c>
      <c r="L233" s="892"/>
      <c r="M233" s="326"/>
      <c r="N233" s="327"/>
      <c r="O233" s="831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AR233" s="328"/>
      <c r="AS233" s="328"/>
      <c r="AT233" s="328"/>
      <c r="AU233" s="328"/>
      <c r="AV233" s="328"/>
      <c r="AW233" s="328"/>
      <c r="AX233" s="328"/>
      <c r="AY233" s="328"/>
      <c r="AZ233" s="328"/>
      <c r="BA233" s="328"/>
      <c r="BB233" s="328"/>
      <c r="BC233" s="328"/>
      <c r="BD233" s="328"/>
      <c r="BE233" s="329"/>
    </row>
    <row r="234" spans="1:57" s="330" customFormat="1" ht="22.5" customHeight="1" x14ac:dyDescent="0.2">
      <c r="A234" s="692" t="s">
        <v>1085</v>
      </c>
      <c r="B234" s="837" t="s">
        <v>875</v>
      </c>
      <c r="C234" s="837" t="s">
        <v>384</v>
      </c>
      <c r="D234" s="323" t="s">
        <v>198</v>
      </c>
      <c r="E234" s="324">
        <f>E235</f>
        <v>2.4E-2</v>
      </c>
      <c r="F234" s="324">
        <f t="shared" ref="F234:J234" si="107">F235</f>
        <v>2.4E-2</v>
      </c>
      <c r="G234" s="324">
        <f t="shared" si="107"/>
        <v>0</v>
      </c>
      <c r="H234" s="324">
        <f t="shared" si="107"/>
        <v>0</v>
      </c>
      <c r="I234" s="324">
        <f t="shared" si="107"/>
        <v>0</v>
      </c>
      <c r="J234" s="324">
        <f t="shared" si="107"/>
        <v>0</v>
      </c>
      <c r="K234" s="325">
        <f t="shared" si="98"/>
        <v>2.4E-2</v>
      </c>
      <c r="L234" s="361"/>
      <c r="M234" s="326"/>
      <c r="N234" s="327"/>
      <c r="O234" s="831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  <c r="AI234" s="328"/>
      <c r="AJ234" s="328"/>
      <c r="AK234" s="328"/>
      <c r="AL234" s="328"/>
      <c r="AM234" s="328"/>
      <c r="AN234" s="328"/>
      <c r="AO234" s="328"/>
      <c r="AP234" s="328"/>
      <c r="AQ234" s="328"/>
      <c r="AR234" s="328"/>
      <c r="AS234" s="328"/>
      <c r="AT234" s="328"/>
      <c r="AU234" s="328"/>
      <c r="AV234" s="328"/>
      <c r="AW234" s="328"/>
      <c r="AX234" s="328"/>
      <c r="AY234" s="328"/>
      <c r="AZ234" s="328"/>
      <c r="BA234" s="328"/>
      <c r="BB234" s="328"/>
      <c r="BC234" s="328"/>
      <c r="BD234" s="328"/>
      <c r="BE234" s="329"/>
    </row>
    <row r="235" spans="1:57" s="330" customFormat="1" ht="15.75" customHeight="1" x14ac:dyDescent="0.2">
      <c r="A235" s="655"/>
      <c r="B235" s="838"/>
      <c r="C235" s="838"/>
      <c r="D235" s="331">
        <v>2019</v>
      </c>
      <c r="E235" s="332">
        <f>F235+G235+H235+I235+J235</f>
        <v>2.4E-2</v>
      </c>
      <c r="F235" s="332">
        <v>2.4E-2</v>
      </c>
      <c r="G235" s="332">
        <v>0</v>
      </c>
      <c r="H235" s="332">
        <v>0</v>
      </c>
      <c r="I235" s="332">
        <v>0</v>
      </c>
      <c r="J235" s="332">
        <v>0</v>
      </c>
      <c r="K235" s="325">
        <f t="shared" si="98"/>
        <v>2.4E-2</v>
      </c>
      <c r="L235" s="361"/>
      <c r="M235" s="326"/>
      <c r="N235" s="327"/>
      <c r="O235" s="831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328"/>
      <c r="AI235" s="328"/>
      <c r="AJ235" s="328"/>
      <c r="AK235" s="328"/>
      <c r="AL235" s="328"/>
      <c r="AM235" s="328"/>
      <c r="AN235" s="328"/>
      <c r="AO235" s="328"/>
      <c r="AP235" s="328"/>
      <c r="AQ235" s="328"/>
      <c r="AR235" s="328"/>
      <c r="AS235" s="328"/>
      <c r="AT235" s="328"/>
      <c r="AU235" s="328"/>
      <c r="AV235" s="328"/>
      <c r="AW235" s="328"/>
      <c r="AX235" s="328"/>
      <c r="AY235" s="328"/>
      <c r="AZ235" s="328"/>
      <c r="BA235" s="328"/>
      <c r="BB235" s="328"/>
      <c r="BC235" s="328"/>
      <c r="BD235" s="328"/>
      <c r="BE235" s="329"/>
    </row>
    <row r="236" spans="1:57" s="131" customFormat="1" x14ac:dyDescent="0.2">
      <c r="A236" s="645" t="s">
        <v>1086</v>
      </c>
      <c r="B236" s="875" t="s">
        <v>876</v>
      </c>
      <c r="C236" s="875" t="s">
        <v>984</v>
      </c>
      <c r="D236" s="125" t="s">
        <v>198</v>
      </c>
      <c r="E236" s="126">
        <f>E237</f>
        <v>0</v>
      </c>
      <c r="F236" s="126">
        <f t="shared" ref="F236:J236" si="108">F237</f>
        <v>0</v>
      </c>
      <c r="G236" s="126">
        <f t="shared" si="108"/>
        <v>0</v>
      </c>
      <c r="H236" s="126">
        <f t="shared" si="108"/>
        <v>0</v>
      </c>
      <c r="I236" s="126">
        <f t="shared" si="108"/>
        <v>0</v>
      </c>
      <c r="J236" s="126">
        <f t="shared" si="108"/>
        <v>0</v>
      </c>
      <c r="K236" s="136">
        <f t="shared" si="98"/>
        <v>0</v>
      </c>
      <c r="L236" s="375"/>
      <c r="M236" s="127"/>
      <c r="N236" s="128"/>
      <c r="O236" s="831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30"/>
    </row>
    <row r="237" spans="1:57" s="131" customFormat="1" x14ac:dyDescent="0.2">
      <c r="A237" s="659"/>
      <c r="B237" s="876"/>
      <c r="C237" s="876"/>
      <c r="D237" s="132">
        <v>2020</v>
      </c>
      <c r="E237" s="133">
        <f>F237+G237+H237+I237+J237</f>
        <v>0</v>
      </c>
      <c r="F237" s="133">
        <v>0</v>
      </c>
      <c r="G237" s="133">
        <v>0</v>
      </c>
      <c r="H237" s="133">
        <v>0</v>
      </c>
      <c r="I237" s="133">
        <v>0</v>
      </c>
      <c r="J237" s="133">
        <v>0</v>
      </c>
      <c r="K237" s="136">
        <f t="shared" si="98"/>
        <v>0</v>
      </c>
      <c r="L237" s="375"/>
      <c r="M237" s="127"/>
      <c r="N237" s="128"/>
      <c r="O237" s="831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30"/>
    </row>
    <row r="238" spans="1:57" s="131" customFormat="1" x14ac:dyDescent="0.2">
      <c r="A238" s="873" t="s">
        <v>1087</v>
      </c>
      <c r="B238" s="660" t="s">
        <v>877</v>
      </c>
      <c r="C238" s="660" t="s">
        <v>984</v>
      </c>
      <c r="D238" s="125" t="s">
        <v>198</v>
      </c>
      <c r="E238" s="126">
        <f>E239</f>
        <v>0</v>
      </c>
      <c r="F238" s="126">
        <f t="shared" ref="F238:J238" si="109">F239</f>
        <v>0</v>
      </c>
      <c r="G238" s="126">
        <f t="shared" si="109"/>
        <v>0</v>
      </c>
      <c r="H238" s="126">
        <f t="shared" si="109"/>
        <v>0</v>
      </c>
      <c r="I238" s="126">
        <f t="shared" si="109"/>
        <v>0</v>
      </c>
      <c r="J238" s="126">
        <f t="shared" si="109"/>
        <v>0</v>
      </c>
      <c r="K238" s="136">
        <f t="shared" si="98"/>
        <v>0</v>
      </c>
      <c r="L238" s="375"/>
      <c r="M238" s="127"/>
      <c r="N238" s="128"/>
      <c r="O238" s="831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30"/>
    </row>
    <row r="239" spans="1:57" s="131" customFormat="1" x14ac:dyDescent="0.2">
      <c r="A239" s="874"/>
      <c r="B239" s="661"/>
      <c r="C239" s="661"/>
      <c r="D239" s="132">
        <v>2020</v>
      </c>
      <c r="E239" s="133">
        <f>F239+G239+H239+I239+J239</f>
        <v>0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6">
        <f t="shared" si="98"/>
        <v>0</v>
      </c>
      <c r="L239" s="375"/>
      <c r="M239" s="127"/>
      <c r="N239" s="128"/>
      <c r="O239" s="831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30"/>
    </row>
    <row r="240" spans="1:57" s="131" customFormat="1" x14ac:dyDescent="0.2">
      <c r="A240" s="645" t="s">
        <v>1088</v>
      </c>
      <c r="B240" s="660" t="s">
        <v>879</v>
      </c>
      <c r="C240" s="660" t="s">
        <v>984</v>
      </c>
      <c r="D240" s="125" t="s">
        <v>198</v>
      </c>
      <c r="E240" s="126">
        <f>E241</f>
        <v>0</v>
      </c>
      <c r="F240" s="126">
        <f t="shared" ref="F240:J240" si="110">F241</f>
        <v>0</v>
      </c>
      <c r="G240" s="126">
        <f t="shared" si="110"/>
        <v>0</v>
      </c>
      <c r="H240" s="126">
        <f t="shared" si="110"/>
        <v>0</v>
      </c>
      <c r="I240" s="126">
        <f t="shared" si="110"/>
        <v>0</v>
      </c>
      <c r="J240" s="126">
        <f t="shared" si="110"/>
        <v>0</v>
      </c>
      <c r="K240" s="136">
        <f t="shared" si="98"/>
        <v>0</v>
      </c>
      <c r="L240" s="375"/>
      <c r="M240" s="127"/>
      <c r="N240" s="128"/>
      <c r="O240" s="831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30"/>
    </row>
    <row r="241" spans="1:57" s="131" customFormat="1" x14ac:dyDescent="0.2">
      <c r="A241" s="659"/>
      <c r="B241" s="661"/>
      <c r="C241" s="661"/>
      <c r="D241" s="132">
        <v>2020</v>
      </c>
      <c r="E241" s="133">
        <f>F241+G241+H241+I241+J241</f>
        <v>0</v>
      </c>
      <c r="F241" s="133">
        <v>0</v>
      </c>
      <c r="G241" s="133">
        <v>0</v>
      </c>
      <c r="H241" s="133">
        <v>0</v>
      </c>
      <c r="I241" s="133">
        <v>0</v>
      </c>
      <c r="J241" s="133">
        <v>0</v>
      </c>
      <c r="K241" s="136">
        <f t="shared" si="98"/>
        <v>0</v>
      </c>
      <c r="L241" s="375"/>
      <c r="M241" s="127"/>
      <c r="N241" s="128"/>
      <c r="O241" s="831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30"/>
    </row>
    <row r="242" spans="1:57" s="131" customFormat="1" ht="24.75" customHeight="1" x14ac:dyDescent="0.2">
      <c r="A242" s="645" t="s">
        <v>1089</v>
      </c>
      <c r="B242" s="641" t="s">
        <v>980</v>
      </c>
      <c r="C242" s="643" t="s">
        <v>970</v>
      </c>
      <c r="D242" s="125" t="s">
        <v>198</v>
      </c>
      <c r="E242" s="126">
        <f>E243</f>
        <v>130</v>
      </c>
      <c r="F242" s="126">
        <f t="shared" ref="F242:I242" si="111">F243</f>
        <v>41.94</v>
      </c>
      <c r="G242" s="126">
        <f t="shared" si="111"/>
        <v>0</v>
      </c>
      <c r="H242" s="126">
        <f t="shared" si="111"/>
        <v>88.06</v>
      </c>
      <c r="I242" s="126">
        <f t="shared" si="111"/>
        <v>0</v>
      </c>
      <c r="J242" s="133">
        <v>0</v>
      </c>
      <c r="K242" s="136">
        <f t="shared" si="98"/>
        <v>130</v>
      </c>
      <c r="L242" s="375"/>
      <c r="M242" s="127"/>
      <c r="N242" s="128"/>
      <c r="O242" s="376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30"/>
    </row>
    <row r="243" spans="1:57" s="131" customFormat="1" x14ac:dyDescent="0.2">
      <c r="A243" s="646"/>
      <c r="B243" s="642"/>
      <c r="C243" s="644"/>
      <c r="D243" s="132">
        <v>2026</v>
      </c>
      <c r="E243" s="133">
        <f t="shared" ref="E243:E254" si="112">F243+G243+H243+I243+J243</f>
        <v>130</v>
      </c>
      <c r="F243" s="133">
        <v>41.94</v>
      </c>
      <c r="G243" s="133">
        <v>0</v>
      </c>
      <c r="H243" s="133">
        <v>88.06</v>
      </c>
      <c r="I243" s="133">
        <v>0</v>
      </c>
      <c r="J243" s="133">
        <v>0</v>
      </c>
      <c r="K243" s="136">
        <f t="shared" si="98"/>
        <v>130</v>
      </c>
      <c r="L243" s="375"/>
      <c r="M243" s="127"/>
      <c r="N243" s="128"/>
      <c r="O243" s="376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30"/>
    </row>
    <row r="244" spans="1:57" s="131" customFormat="1" ht="24" customHeight="1" x14ac:dyDescent="0.2">
      <c r="A244" s="647" t="s">
        <v>1090</v>
      </c>
      <c r="B244" s="641" t="s">
        <v>981</v>
      </c>
      <c r="C244" s="377" t="s">
        <v>984</v>
      </c>
      <c r="D244" s="125" t="s">
        <v>198</v>
      </c>
      <c r="E244" s="126">
        <f>E245</f>
        <v>11</v>
      </c>
      <c r="F244" s="126">
        <f t="shared" ref="F244:I244" si="113">F245</f>
        <v>11</v>
      </c>
      <c r="G244" s="126">
        <f t="shared" si="113"/>
        <v>0</v>
      </c>
      <c r="H244" s="126">
        <f t="shared" si="113"/>
        <v>0</v>
      </c>
      <c r="I244" s="126">
        <f t="shared" si="113"/>
        <v>0</v>
      </c>
      <c r="J244" s="133">
        <v>0</v>
      </c>
      <c r="K244" s="136">
        <f t="shared" si="98"/>
        <v>11</v>
      </c>
      <c r="L244" s="375"/>
      <c r="M244" s="127"/>
      <c r="N244" s="128"/>
      <c r="O244" s="376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30"/>
    </row>
    <row r="245" spans="1:57" s="131" customFormat="1" ht="41.25" customHeight="1" x14ac:dyDescent="0.2">
      <c r="A245" s="647"/>
      <c r="B245" s="642"/>
      <c r="C245" s="307" t="s">
        <v>970</v>
      </c>
      <c r="D245" s="132">
        <v>2026</v>
      </c>
      <c r="E245" s="133">
        <f t="shared" si="112"/>
        <v>11</v>
      </c>
      <c r="F245" s="133">
        <v>11</v>
      </c>
      <c r="G245" s="133">
        <v>0</v>
      </c>
      <c r="H245" s="133">
        <v>0</v>
      </c>
      <c r="I245" s="133">
        <v>0</v>
      </c>
      <c r="J245" s="133">
        <v>0</v>
      </c>
      <c r="K245" s="136">
        <f t="shared" si="98"/>
        <v>11</v>
      </c>
      <c r="L245" s="375"/>
      <c r="M245" s="127"/>
      <c r="N245" s="128"/>
      <c r="O245" s="376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30"/>
    </row>
    <row r="246" spans="1:57" s="330" customFormat="1" x14ac:dyDescent="0.2">
      <c r="A246" s="692" t="s">
        <v>1091</v>
      </c>
      <c r="B246" s="878" t="s">
        <v>1078</v>
      </c>
      <c r="C246" s="894" t="s">
        <v>984</v>
      </c>
      <c r="D246" s="323" t="s">
        <v>198</v>
      </c>
      <c r="E246" s="133">
        <f>E247</f>
        <v>6.4947999999999997</v>
      </c>
      <c r="F246" s="133">
        <f t="shared" ref="F246:J246" si="114">F247</f>
        <v>0.84430000000000005</v>
      </c>
      <c r="G246" s="133">
        <f t="shared" si="114"/>
        <v>0</v>
      </c>
      <c r="H246" s="133">
        <f t="shared" si="114"/>
        <v>5.6505000000000001</v>
      </c>
      <c r="I246" s="133">
        <f t="shared" si="114"/>
        <v>0</v>
      </c>
      <c r="J246" s="133">
        <f t="shared" si="114"/>
        <v>0</v>
      </c>
      <c r="K246" s="325"/>
      <c r="L246" s="361"/>
      <c r="M246" s="326"/>
      <c r="N246" s="327"/>
      <c r="O246" s="350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328"/>
      <c r="AI246" s="328"/>
      <c r="AJ246" s="328"/>
      <c r="AK246" s="328"/>
      <c r="AL246" s="328"/>
      <c r="AM246" s="328"/>
      <c r="AN246" s="328"/>
      <c r="AO246" s="328"/>
      <c r="AP246" s="328"/>
      <c r="AQ246" s="328"/>
      <c r="AR246" s="328"/>
      <c r="AS246" s="328"/>
      <c r="AT246" s="328"/>
      <c r="AU246" s="328"/>
      <c r="AV246" s="328"/>
      <c r="AW246" s="328"/>
      <c r="AX246" s="328"/>
      <c r="AY246" s="328"/>
      <c r="AZ246" s="328"/>
      <c r="BA246" s="328"/>
      <c r="BB246" s="328"/>
      <c r="BC246" s="328"/>
      <c r="BD246" s="328"/>
      <c r="BE246" s="329"/>
    </row>
    <row r="247" spans="1:57" s="330" customFormat="1" ht="15.75" customHeight="1" x14ac:dyDescent="0.2">
      <c r="A247" s="655"/>
      <c r="B247" s="878"/>
      <c r="C247" s="896"/>
      <c r="D247" s="331">
        <v>2020</v>
      </c>
      <c r="E247" s="133">
        <f t="shared" si="112"/>
        <v>6.4947999999999997</v>
      </c>
      <c r="F247" s="332">
        <v>0.84430000000000005</v>
      </c>
      <c r="G247" s="332">
        <v>0</v>
      </c>
      <c r="H247" s="332">
        <v>5.6505000000000001</v>
      </c>
      <c r="I247" s="332">
        <v>0</v>
      </c>
      <c r="J247" s="332">
        <v>0</v>
      </c>
      <c r="K247" s="325"/>
      <c r="L247" s="361"/>
      <c r="M247" s="326"/>
      <c r="N247" s="327"/>
      <c r="O247" s="350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  <c r="AI247" s="328"/>
      <c r="AJ247" s="328"/>
      <c r="AK247" s="328"/>
      <c r="AL247" s="328"/>
      <c r="AM247" s="328"/>
      <c r="AN247" s="328"/>
      <c r="AO247" s="328"/>
      <c r="AP247" s="328"/>
      <c r="AQ247" s="328"/>
      <c r="AR247" s="328"/>
      <c r="AS247" s="328"/>
      <c r="AT247" s="328"/>
      <c r="AU247" s="328"/>
      <c r="AV247" s="328"/>
      <c r="AW247" s="328"/>
      <c r="AX247" s="328"/>
      <c r="AY247" s="328"/>
      <c r="AZ247" s="328"/>
      <c r="BA247" s="328"/>
      <c r="BB247" s="328"/>
      <c r="BC247" s="328"/>
      <c r="BD247" s="328"/>
      <c r="BE247" s="329"/>
    </row>
    <row r="248" spans="1:57" s="330" customFormat="1" x14ac:dyDescent="0.2">
      <c r="A248" s="956" t="s">
        <v>1092</v>
      </c>
      <c r="B248" s="441"/>
      <c r="C248" s="894" t="s">
        <v>984</v>
      </c>
      <c r="D248" s="323" t="s">
        <v>198</v>
      </c>
      <c r="E248" s="133">
        <f>E249+E250</f>
        <v>0.78</v>
      </c>
      <c r="F248" s="133">
        <f t="shared" ref="F248:I248" si="115">F249+F250</f>
        <v>0.10150000000000001</v>
      </c>
      <c r="G248" s="133">
        <f t="shared" si="115"/>
        <v>0.67849999999999999</v>
      </c>
      <c r="H248" s="133">
        <f t="shared" si="115"/>
        <v>0</v>
      </c>
      <c r="I248" s="133">
        <f t="shared" si="115"/>
        <v>0</v>
      </c>
      <c r="J248" s="332">
        <v>0</v>
      </c>
      <c r="K248" s="325"/>
      <c r="L248" s="361"/>
      <c r="M248" s="326"/>
      <c r="N248" s="327"/>
      <c r="O248" s="350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328"/>
      <c r="AP248" s="328"/>
      <c r="AQ248" s="328"/>
      <c r="AR248" s="328"/>
      <c r="AS248" s="328"/>
      <c r="AT248" s="328"/>
      <c r="AU248" s="328"/>
      <c r="AV248" s="328"/>
      <c r="AW248" s="328"/>
      <c r="AX248" s="328"/>
      <c r="AY248" s="328"/>
      <c r="AZ248" s="328"/>
      <c r="BA248" s="328"/>
      <c r="BB248" s="328"/>
      <c r="BC248" s="328"/>
      <c r="BD248" s="328"/>
      <c r="BE248" s="329"/>
    </row>
    <row r="249" spans="1:57" s="330" customFormat="1" ht="38.25" x14ac:dyDescent="0.2">
      <c r="A249" s="956"/>
      <c r="B249" s="355" t="s">
        <v>1079</v>
      </c>
      <c r="C249" s="895"/>
      <c r="D249" s="331">
        <v>2021</v>
      </c>
      <c r="E249" s="133">
        <f t="shared" si="112"/>
        <v>0.44440000000000002</v>
      </c>
      <c r="F249" s="332">
        <v>5.7799999999999997E-2</v>
      </c>
      <c r="G249" s="332">
        <v>0.3866</v>
      </c>
      <c r="H249" s="332">
        <v>0</v>
      </c>
      <c r="I249" s="332">
        <v>0</v>
      </c>
      <c r="J249" s="332">
        <v>0</v>
      </c>
      <c r="K249" s="325"/>
      <c r="L249" s="361"/>
      <c r="M249" s="326"/>
      <c r="N249" s="327"/>
      <c r="O249" s="350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D249" s="328"/>
      <c r="AE249" s="328"/>
      <c r="AF249" s="328"/>
      <c r="AG249" s="328"/>
      <c r="AH249" s="328"/>
      <c r="AI249" s="328"/>
      <c r="AJ249" s="328"/>
      <c r="AK249" s="328"/>
      <c r="AL249" s="328"/>
      <c r="AM249" s="328"/>
      <c r="AN249" s="328"/>
      <c r="AO249" s="328"/>
      <c r="AP249" s="328"/>
      <c r="AQ249" s="328"/>
      <c r="AR249" s="328"/>
      <c r="AS249" s="328"/>
      <c r="AT249" s="328"/>
      <c r="AU249" s="328"/>
      <c r="AV249" s="328"/>
      <c r="AW249" s="328"/>
      <c r="AX249" s="328"/>
      <c r="AY249" s="328"/>
      <c r="AZ249" s="328"/>
      <c r="BA249" s="328"/>
      <c r="BB249" s="328"/>
      <c r="BC249" s="328"/>
      <c r="BD249" s="328"/>
      <c r="BE249" s="329"/>
    </row>
    <row r="250" spans="1:57" s="330" customFormat="1" x14ac:dyDescent="0.2">
      <c r="A250" s="956"/>
      <c r="B250" s="355"/>
      <c r="C250" s="896"/>
      <c r="D250" s="331">
        <v>2022</v>
      </c>
      <c r="E250" s="133">
        <f t="shared" si="112"/>
        <v>0.33560000000000001</v>
      </c>
      <c r="F250" s="332">
        <v>4.3700000000000003E-2</v>
      </c>
      <c r="G250" s="332">
        <v>0.29189999999999999</v>
      </c>
      <c r="H250" s="332">
        <v>0</v>
      </c>
      <c r="I250" s="332">
        <v>0</v>
      </c>
      <c r="J250" s="332">
        <v>0</v>
      </c>
      <c r="K250" s="325"/>
      <c r="L250" s="361"/>
      <c r="M250" s="326"/>
      <c r="N250" s="327"/>
      <c r="O250" s="350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328"/>
      <c r="AI250" s="328"/>
      <c r="AJ250" s="328"/>
      <c r="AK250" s="328"/>
      <c r="AL250" s="328"/>
      <c r="AM250" s="328"/>
      <c r="AN250" s="328"/>
      <c r="AO250" s="328"/>
      <c r="AP250" s="328"/>
      <c r="AQ250" s="328"/>
      <c r="AR250" s="328"/>
      <c r="AS250" s="328"/>
      <c r="AT250" s="328"/>
      <c r="AU250" s="328"/>
      <c r="AV250" s="328"/>
      <c r="AW250" s="328"/>
      <c r="AX250" s="328"/>
      <c r="AY250" s="328"/>
      <c r="AZ250" s="328"/>
      <c r="BA250" s="328"/>
      <c r="BB250" s="328"/>
      <c r="BC250" s="328"/>
      <c r="BD250" s="328"/>
      <c r="BE250" s="329"/>
    </row>
    <row r="251" spans="1:57" s="330" customFormat="1" x14ac:dyDescent="0.2">
      <c r="A251" s="654" t="s">
        <v>1093</v>
      </c>
      <c r="B251" s="656" t="s">
        <v>1052</v>
      </c>
      <c r="C251" s="656" t="s">
        <v>984</v>
      </c>
      <c r="D251" s="323" t="s">
        <v>513</v>
      </c>
      <c r="E251" s="332">
        <f>E252+E253+E254</f>
        <v>9.7251000000000012</v>
      </c>
      <c r="F251" s="332">
        <f t="shared" ref="F251:H251" si="116">F252+F253+F254</f>
        <v>2.0865</v>
      </c>
      <c r="G251" s="332">
        <f t="shared" si="116"/>
        <v>0</v>
      </c>
      <c r="H251" s="332">
        <f t="shared" si="116"/>
        <v>7.6386000000000003</v>
      </c>
      <c r="I251" s="332">
        <f t="shared" ref="I251" si="117">I252+I253+I254</f>
        <v>0</v>
      </c>
      <c r="J251" s="332">
        <f t="shared" ref="J251" si="118">J252+J253+J254</f>
        <v>0</v>
      </c>
      <c r="K251" s="332">
        <f t="shared" ref="K251" si="119">K252+K253+K254</f>
        <v>0</v>
      </c>
      <c r="L251" s="361"/>
      <c r="M251" s="326"/>
      <c r="N251" s="327"/>
      <c r="O251" s="350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  <c r="AI251" s="328"/>
      <c r="AJ251" s="328"/>
      <c r="AK251" s="328"/>
      <c r="AL251" s="328"/>
      <c r="AM251" s="328"/>
      <c r="AN251" s="328"/>
      <c r="AO251" s="328"/>
      <c r="AP251" s="328"/>
      <c r="AQ251" s="328"/>
      <c r="AR251" s="328"/>
      <c r="AS251" s="328"/>
      <c r="AT251" s="328"/>
      <c r="AU251" s="328"/>
      <c r="AV251" s="328"/>
      <c r="AW251" s="328"/>
      <c r="AX251" s="328"/>
      <c r="AY251" s="328"/>
      <c r="AZ251" s="328"/>
      <c r="BA251" s="328"/>
      <c r="BB251" s="328"/>
      <c r="BC251" s="328"/>
      <c r="BD251" s="328"/>
      <c r="BE251" s="329"/>
    </row>
    <row r="252" spans="1:57" s="330" customFormat="1" x14ac:dyDescent="0.2">
      <c r="A252" s="654"/>
      <c r="B252" s="657"/>
      <c r="C252" s="657"/>
      <c r="D252" s="331">
        <v>2020</v>
      </c>
      <c r="E252" s="332">
        <f t="shared" si="112"/>
        <v>0.94510000000000005</v>
      </c>
      <c r="F252" s="332">
        <v>0.94510000000000005</v>
      </c>
      <c r="G252" s="332">
        <v>0</v>
      </c>
      <c r="H252" s="332">
        <v>0</v>
      </c>
      <c r="I252" s="332">
        <v>0</v>
      </c>
      <c r="J252" s="332">
        <v>0</v>
      </c>
      <c r="K252" s="325"/>
      <c r="L252" s="361"/>
      <c r="M252" s="326"/>
      <c r="N252" s="327"/>
      <c r="O252" s="350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AR252" s="328"/>
      <c r="AS252" s="328"/>
      <c r="AT252" s="328"/>
      <c r="AU252" s="328"/>
      <c r="AV252" s="328"/>
      <c r="AW252" s="328"/>
      <c r="AX252" s="328"/>
      <c r="AY252" s="328"/>
      <c r="AZ252" s="328"/>
      <c r="BA252" s="328"/>
      <c r="BB252" s="328"/>
      <c r="BC252" s="328"/>
      <c r="BD252" s="328"/>
      <c r="BE252" s="329"/>
    </row>
    <row r="253" spans="1:57" s="330" customFormat="1" x14ac:dyDescent="0.2">
      <c r="A253" s="654"/>
      <c r="B253" s="657"/>
      <c r="C253" s="657"/>
      <c r="D253" s="331">
        <v>2021</v>
      </c>
      <c r="E253" s="332">
        <f t="shared" si="112"/>
        <v>2</v>
      </c>
      <c r="F253" s="332">
        <v>0.26</v>
      </c>
      <c r="G253" s="332">
        <v>0</v>
      </c>
      <c r="H253" s="332">
        <v>1.74</v>
      </c>
      <c r="I253" s="332">
        <v>0</v>
      </c>
      <c r="J253" s="332">
        <v>0</v>
      </c>
      <c r="K253" s="325"/>
      <c r="L253" s="361"/>
      <c r="M253" s="326"/>
      <c r="N253" s="327"/>
      <c r="O253" s="350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  <c r="AX253" s="328"/>
      <c r="AY253" s="328"/>
      <c r="AZ253" s="328"/>
      <c r="BA253" s="328"/>
      <c r="BB253" s="328"/>
      <c r="BC253" s="328"/>
      <c r="BD253" s="328"/>
      <c r="BE253" s="329"/>
    </row>
    <row r="254" spans="1:57" s="330" customFormat="1" x14ac:dyDescent="0.2">
      <c r="A254" s="655"/>
      <c r="B254" s="658"/>
      <c r="C254" s="658"/>
      <c r="D254" s="331">
        <v>2022</v>
      </c>
      <c r="E254" s="332">
        <f t="shared" si="112"/>
        <v>6.78</v>
      </c>
      <c r="F254" s="332">
        <v>0.88139999999999996</v>
      </c>
      <c r="G254" s="332">
        <v>0</v>
      </c>
      <c r="H254" s="332">
        <v>5.8986000000000001</v>
      </c>
      <c r="I254" s="332">
        <v>0</v>
      </c>
      <c r="J254" s="332">
        <v>0</v>
      </c>
      <c r="K254" s="325"/>
      <c r="L254" s="361"/>
      <c r="M254" s="326"/>
      <c r="N254" s="327"/>
      <c r="O254" s="350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  <c r="AX254" s="328"/>
      <c r="AY254" s="328"/>
      <c r="AZ254" s="328"/>
      <c r="BA254" s="328"/>
      <c r="BB254" s="328"/>
      <c r="BC254" s="328"/>
      <c r="BD254" s="328"/>
      <c r="BE254" s="329"/>
    </row>
    <row r="255" spans="1:57" s="48" customFormat="1" ht="21" customHeight="1" x14ac:dyDescent="0.2">
      <c r="A255" s="652">
        <v>3</v>
      </c>
      <c r="B255" s="649" t="s">
        <v>604</v>
      </c>
      <c r="C255" s="631"/>
      <c r="D255" s="46" t="s">
        <v>198</v>
      </c>
      <c r="E255" s="47">
        <f t="shared" ref="E255:J255" si="120">SUM(E256:E258)</f>
        <v>5.04</v>
      </c>
      <c r="F255" s="47">
        <f t="shared" si="120"/>
        <v>5.04</v>
      </c>
      <c r="G255" s="47">
        <f t="shared" si="120"/>
        <v>0</v>
      </c>
      <c r="H255" s="47">
        <f t="shared" si="120"/>
        <v>0</v>
      </c>
      <c r="I255" s="47">
        <f t="shared" si="120"/>
        <v>0</v>
      </c>
      <c r="J255" s="47">
        <f t="shared" si="120"/>
        <v>0</v>
      </c>
      <c r="K255" s="261">
        <f t="shared" si="98"/>
        <v>5.04</v>
      </c>
      <c r="L255" s="52"/>
      <c r="M255" s="50"/>
      <c r="N255" s="51"/>
      <c r="O255" s="273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6"/>
    </row>
    <row r="256" spans="1:57" s="48" customFormat="1" ht="15.75" customHeight="1" x14ac:dyDescent="0.2">
      <c r="A256" s="653"/>
      <c r="B256" s="650"/>
      <c r="C256" s="648"/>
      <c r="D256" s="46">
        <v>2019</v>
      </c>
      <c r="E256" s="47">
        <f>E263+E264+E265+E266+E268</f>
        <v>1.2</v>
      </c>
      <c r="F256" s="47">
        <f>F263+F264+F265+F266+F268</f>
        <v>1.2</v>
      </c>
      <c r="G256" s="47">
        <f t="shared" ref="G256:J256" si="121">G263+G264+G265+G266+G268</f>
        <v>0</v>
      </c>
      <c r="H256" s="47">
        <f t="shared" si="121"/>
        <v>0</v>
      </c>
      <c r="I256" s="47">
        <f t="shared" si="121"/>
        <v>0</v>
      </c>
      <c r="J256" s="47">
        <f t="shared" si="121"/>
        <v>0</v>
      </c>
      <c r="K256" s="261">
        <f t="shared" si="98"/>
        <v>1.2</v>
      </c>
      <c r="L256" s="52"/>
      <c r="M256" s="50"/>
      <c r="N256" s="51"/>
      <c r="O256" s="273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6"/>
    </row>
    <row r="257" spans="1:57" s="48" customFormat="1" ht="15.75" customHeight="1" x14ac:dyDescent="0.2">
      <c r="A257" s="653"/>
      <c r="B257" s="650"/>
      <c r="C257" s="648"/>
      <c r="D257" s="46">
        <v>2020</v>
      </c>
      <c r="E257" s="47">
        <f>E269</f>
        <v>1.92</v>
      </c>
      <c r="F257" s="47">
        <f>F269</f>
        <v>1.92</v>
      </c>
      <c r="G257" s="47">
        <f t="shared" ref="G257:J259" si="122">G269</f>
        <v>0</v>
      </c>
      <c r="H257" s="47">
        <f t="shared" si="122"/>
        <v>0</v>
      </c>
      <c r="I257" s="47">
        <f t="shared" si="122"/>
        <v>0</v>
      </c>
      <c r="J257" s="47">
        <f t="shared" si="122"/>
        <v>0</v>
      </c>
      <c r="K257" s="261">
        <f t="shared" si="98"/>
        <v>1.92</v>
      </c>
      <c r="L257" s="52"/>
      <c r="M257" s="50"/>
      <c r="N257" s="51"/>
      <c r="O257" s="273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6"/>
    </row>
    <row r="258" spans="1:57" s="48" customFormat="1" ht="15.75" customHeight="1" x14ac:dyDescent="0.2">
      <c r="A258" s="653"/>
      <c r="B258" s="650"/>
      <c r="C258" s="648"/>
      <c r="D258" s="46">
        <v>2021</v>
      </c>
      <c r="E258" s="47">
        <f>E270</f>
        <v>1.92</v>
      </c>
      <c r="F258" s="47">
        <f>F270</f>
        <v>1.92</v>
      </c>
      <c r="G258" s="47">
        <f t="shared" si="122"/>
        <v>0</v>
      </c>
      <c r="H258" s="47">
        <f t="shared" si="122"/>
        <v>0</v>
      </c>
      <c r="I258" s="47">
        <f t="shared" si="122"/>
        <v>0</v>
      </c>
      <c r="J258" s="47">
        <f t="shared" si="122"/>
        <v>0</v>
      </c>
      <c r="K258" s="261">
        <f t="shared" si="98"/>
        <v>1.92</v>
      </c>
      <c r="L258" s="52"/>
      <c r="M258" s="50"/>
      <c r="N258" s="51"/>
      <c r="O258" s="273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6"/>
    </row>
    <row r="259" spans="1:57" s="48" customFormat="1" ht="15.75" customHeight="1" x14ac:dyDescent="0.2">
      <c r="A259" s="164"/>
      <c r="B259" s="650"/>
      <c r="C259" s="250"/>
      <c r="D259" s="46">
        <v>2022</v>
      </c>
      <c r="E259" s="47">
        <f t="shared" ref="E259:J262" si="123">E271</f>
        <v>1.92</v>
      </c>
      <c r="F259" s="47">
        <f>F271</f>
        <v>1.92</v>
      </c>
      <c r="G259" s="47">
        <f t="shared" si="122"/>
        <v>0</v>
      </c>
      <c r="H259" s="47">
        <f t="shared" si="122"/>
        <v>0</v>
      </c>
      <c r="I259" s="47">
        <f t="shared" si="122"/>
        <v>0</v>
      </c>
      <c r="J259" s="47">
        <f t="shared" si="122"/>
        <v>0</v>
      </c>
      <c r="K259" s="261">
        <f t="shared" si="98"/>
        <v>1.92</v>
      </c>
      <c r="L259" s="52"/>
      <c r="M259" s="50"/>
      <c r="N259" s="51"/>
      <c r="O259" s="272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6"/>
    </row>
    <row r="260" spans="1:57" s="48" customFormat="1" ht="15.75" customHeight="1" x14ac:dyDescent="0.2">
      <c r="A260" s="164"/>
      <c r="B260" s="650"/>
      <c r="C260" s="250"/>
      <c r="D260" s="46">
        <v>2023</v>
      </c>
      <c r="E260" s="47">
        <f t="shared" si="123"/>
        <v>1.92</v>
      </c>
      <c r="F260" s="47">
        <f t="shared" si="123"/>
        <v>1.92</v>
      </c>
      <c r="G260" s="47">
        <f t="shared" si="123"/>
        <v>0</v>
      </c>
      <c r="H260" s="47">
        <f t="shared" si="123"/>
        <v>0</v>
      </c>
      <c r="I260" s="47">
        <f t="shared" si="123"/>
        <v>0</v>
      </c>
      <c r="J260" s="47">
        <f t="shared" si="123"/>
        <v>0</v>
      </c>
      <c r="K260" s="261">
        <f t="shared" ref="K260:K332" si="124">F260+G260+H260+I260+J260</f>
        <v>1.92</v>
      </c>
      <c r="L260" s="52"/>
      <c r="M260" s="50"/>
      <c r="N260" s="51"/>
      <c r="O260" s="272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6"/>
    </row>
    <row r="261" spans="1:57" s="48" customFormat="1" ht="15.75" customHeight="1" x14ac:dyDescent="0.2">
      <c r="A261" s="164"/>
      <c r="B261" s="650"/>
      <c r="C261" s="250"/>
      <c r="D261" s="46">
        <v>2024</v>
      </c>
      <c r="E261" s="47">
        <f t="shared" si="123"/>
        <v>1.92</v>
      </c>
      <c r="F261" s="47">
        <f t="shared" si="123"/>
        <v>1.92</v>
      </c>
      <c r="G261" s="47">
        <f t="shared" si="123"/>
        <v>0</v>
      </c>
      <c r="H261" s="47">
        <f t="shared" si="123"/>
        <v>0</v>
      </c>
      <c r="I261" s="47">
        <f t="shared" si="123"/>
        <v>0</v>
      </c>
      <c r="J261" s="47">
        <f t="shared" si="123"/>
        <v>0</v>
      </c>
      <c r="K261" s="261">
        <f t="shared" si="124"/>
        <v>1.92</v>
      </c>
      <c r="L261" s="52"/>
      <c r="M261" s="50"/>
      <c r="N261" s="51"/>
      <c r="O261" s="272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6"/>
    </row>
    <row r="262" spans="1:57" s="48" customFormat="1" ht="15.75" customHeight="1" x14ac:dyDescent="0.2">
      <c r="A262" s="164"/>
      <c r="B262" s="651"/>
      <c r="C262" s="250"/>
      <c r="D262" s="46">
        <v>2025</v>
      </c>
      <c r="E262" s="47">
        <f t="shared" si="123"/>
        <v>1.92</v>
      </c>
      <c r="F262" s="47">
        <f t="shared" si="123"/>
        <v>1.92</v>
      </c>
      <c r="G262" s="47">
        <f t="shared" si="123"/>
        <v>0</v>
      </c>
      <c r="H262" s="47">
        <f t="shared" si="123"/>
        <v>0</v>
      </c>
      <c r="I262" s="47">
        <f t="shared" si="123"/>
        <v>0</v>
      </c>
      <c r="J262" s="47">
        <f t="shared" si="123"/>
        <v>0</v>
      </c>
      <c r="K262" s="261">
        <f t="shared" si="124"/>
        <v>1.92</v>
      </c>
      <c r="L262" s="52"/>
      <c r="M262" s="50"/>
      <c r="N262" s="51"/>
      <c r="O262" s="272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6"/>
    </row>
    <row r="263" spans="1:57" s="48" customFormat="1" ht="25.5" x14ac:dyDescent="0.2">
      <c r="A263" s="210" t="s">
        <v>650</v>
      </c>
      <c r="B263" s="211" t="s">
        <v>748</v>
      </c>
      <c r="C263" s="862" t="s">
        <v>754</v>
      </c>
      <c r="D263" s="189">
        <v>2019</v>
      </c>
      <c r="E263" s="188">
        <f>F263+G263+H263+I263+J263</f>
        <v>0</v>
      </c>
      <c r="F263" s="188">
        <v>0</v>
      </c>
      <c r="G263" s="188">
        <v>0</v>
      </c>
      <c r="H263" s="188">
        <v>0</v>
      </c>
      <c r="I263" s="188">
        <v>0</v>
      </c>
      <c r="J263" s="188">
        <v>0</v>
      </c>
      <c r="K263" s="261">
        <f t="shared" si="124"/>
        <v>0</v>
      </c>
      <c r="L263" s="52"/>
      <c r="M263" s="50"/>
      <c r="N263" s="51"/>
      <c r="O263" s="705" t="s">
        <v>807</v>
      </c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6"/>
    </row>
    <row r="264" spans="1:57" s="48" customFormat="1" ht="25.5" x14ac:dyDescent="0.2">
      <c r="A264" s="210" t="s">
        <v>740</v>
      </c>
      <c r="B264" s="211" t="s">
        <v>751</v>
      </c>
      <c r="C264" s="863"/>
      <c r="D264" s="189">
        <v>2019</v>
      </c>
      <c r="E264" s="188">
        <f t="shared" ref="E264:E274" si="125">F264+G264+H264+I264+J264</f>
        <v>0</v>
      </c>
      <c r="F264" s="188">
        <v>0</v>
      </c>
      <c r="G264" s="188">
        <v>0</v>
      </c>
      <c r="H264" s="188">
        <v>0</v>
      </c>
      <c r="I264" s="188">
        <v>0</v>
      </c>
      <c r="J264" s="188">
        <v>0</v>
      </c>
      <c r="K264" s="261">
        <f t="shared" si="124"/>
        <v>0</v>
      </c>
      <c r="L264" s="52"/>
      <c r="M264" s="50"/>
      <c r="N264" s="51"/>
      <c r="O264" s="706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6"/>
    </row>
    <row r="265" spans="1:57" s="48" customFormat="1" ht="25.5" x14ac:dyDescent="0.2">
      <c r="A265" s="210" t="s">
        <v>749</v>
      </c>
      <c r="B265" s="211" t="s">
        <v>752</v>
      </c>
      <c r="C265" s="863"/>
      <c r="D265" s="189">
        <v>2019</v>
      </c>
      <c r="E265" s="188">
        <f t="shared" si="125"/>
        <v>0</v>
      </c>
      <c r="F265" s="188">
        <v>0</v>
      </c>
      <c r="G265" s="188">
        <v>0</v>
      </c>
      <c r="H265" s="188">
        <v>0</v>
      </c>
      <c r="I265" s="188">
        <v>0</v>
      </c>
      <c r="J265" s="188">
        <v>0</v>
      </c>
      <c r="K265" s="261">
        <f t="shared" si="124"/>
        <v>0</v>
      </c>
      <c r="L265" s="52"/>
      <c r="M265" s="50"/>
      <c r="N265" s="51"/>
      <c r="O265" s="706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6"/>
    </row>
    <row r="266" spans="1:57" s="48" customFormat="1" ht="25.5" x14ac:dyDescent="0.2">
      <c r="A266" s="210" t="s">
        <v>750</v>
      </c>
      <c r="B266" s="211" t="s">
        <v>753</v>
      </c>
      <c r="C266" s="778"/>
      <c r="D266" s="189">
        <v>2019</v>
      </c>
      <c r="E266" s="188">
        <f t="shared" si="125"/>
        <v>0</v>
      </c>
      <c r="F266" s="188">
        <v>0</v>
      </c>
      <c r="G266" s="188">
        <v>0</v>
      </c>
      <c r="H266" s="188">
        <v>0</v>
      </c>
      <c r="I266" s="188">
        <v>0</v>
      </c>
      <c r="J266" s="188">
        <v>0</v>
      </c>
      <c r="K266" s="261">
        <f t="shared" si="124"/>
        <v>0</v>
      </c>
      <c r="L266" s="52"/>
      <c r="M266" s="50"/>
      <c r="N266" s="51"/>
      <c r="O266" s="730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6"/>
    </row>
    <row r="267" spans="1:57" s="48" customFormat="1" x14ac:dyDescent="0.2">
      <c r="A267" s="662" t="s">
        <v>755</v>
      </c>
      <c r="B267" s="631" t="s">
        <v>760</v>
      </c>
      <c r="C267" s="670" t="s">
        <v>761</v>
      </c>
      <c r="D267" s="46" t="s">
        <v>198</v>
      </c>
      <c r="E267" s="47">
        <f>E268+E269+E270+E271+E272+E273+E274</f>
        <v>12.719999999999999</v>
      </c>
      <c r="F267" s="47">
        <f t="shared" ref="F267:J267" si="126">F268+F269+F270+F271+F272+F273+F274</f>
        <v>12.719999999999999</v>
      </c>
      <c r="G267" s="47">
        <f t="shared" si="126"/>
        <v>0</v>
      </c>
      <c r="H267" s="47">
        <f t="shared" si="126"/>
        <v>0</v>
      </c>
      <c r="I267" s="47">
        <f t="shared" si="126"/>
        <v>0</v>
      </c>
      <c r="J267" s="47">
        <f t="shared" si="126"/>
        <v>0</v>
      </c>
      <c r="K267" s="261">
        <f t="shared" si="124"/>
        <v>12.719999999999999</v>
      </c>
      <c r="L267" s="52"/>
      <c r="M267" s="50"/>
      <c r="N267" s="51"/>
      <c r="O267" s="15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6"/>
    </row>
    <row r="268" spans="1:57" s="48" customFormat="1" ht="12.75" customHeight="1" x14ac:dyDescent="0.2">
      <c r="A268" s="663"/>
      <c r="B268" s="648"/>
      <c r="C268" s="671"/>
      <c r="D268" s="189">
        <v>2019</v>
      </c>
      <c r="E268" s="188">
        <f t="shared" si="125"/>
        <v>1.2</v>
      </c>
      <c r="F268" s="188">
        <v>1.2</v>
      </c>
      <c r="G268" s="188">
        <v>0</v>
      </c>
      <c r="H268" s="188">
        <v>0</v>
      </c>
      <c r="I268" s="188">
        <v>0</v>
      </c>
      <c r="J268" s="188">
        <v>0</v>
      </c>
      <c r="K268" s="261">
        <f t="shared" si="124"/>
        <v>1.2</v>
      </c>
      <c r="L268" s="52"/>
      <c r="M268" s="50"/>
      <c r="N268" s="51"/>
      <c r="O268" s="862" t="s">
        <v>739</v>
      </c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6"/>
    </row>
    <row r="269" spans="1:57" s="48" customFormat="1" ht="15.75" customHeight="1" x14ac:dyDescent="0.2">
      <c r="A269" s="663"/>
      <c r="B269" s="648"/>
      <c r="C269" s="671"/>
      <c r="D269" s="189">
        <v>2020</v>
      </c>
      <c r="E269" s="188">
        <f t="shared" si="125"/>
        <v>1.92</v>
      </c>
      <c r="F269" s="188">
        <v>1.92</v>
      </c>
      <c r="G269" s="188">
        <v>0</v>
      </c>
      <c r="H269" s="188">
        <v>0</v>
      </c>
      <c r="I269" s="188">
        <v>0</v>
      </c>
      <c r="J269" s="188">
        <v>0</v>
      </c>
      <c r="K269" s="261">
        <f t="shared" si="124"/>
        <v>1.92</v>
      </c>
      <c r="L269" s="52"/>
      <c r="M269" s="50"/>
      <c r="N269" s="51"/>
      <c r="O269" s="863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6"/>
    </row>
    <row r="270" spans="1:57" s="48" customFormat="1" x14ac:dyDescent="0.2">
      <c r="A270" s="663"/>
      <c r="B270" s="648"/>
      <c r="C270" s="671"/>
      <c r="D270" s="189">
        <v>2021</v>
      </c>
      <c r="E270" s="188">
        <f t="shared" si="125"/>
        <v>1.92</v>
      </c>
      <c r="F270" s="188">
        <v>1.92</v>
      </c>
      <c r="G270" s="188">
        <v>0</v>
      </c>
      <c r="H270" s="188">
        <v>0</v>
      </c>
      <c r="I270" s="188">
        <v>0</v>
      </c>
      <c r="J270" s="188">
        <v>0</v>
      </c>
      <c r="K270" s="261">
        <f t="shared" si="124"/>
        <v>1.92</v>
      </c>
      <c r="L270" s="52"/>
      <c r="M270" s="50"/>
      <c r="N270" s="51"/>
      <c r="O270" s="778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6"/>
    </row>
    <row r="271" spans="1:57" s="48" customFormat="1" x14ac:dyDescent="0.2">
      <c r="A271" s="663"/>
      <c r="B271" s="648"/>
      <c r="C271" s="671"/>
      <c r="D271" s="189">
        <v>2022</v>
      </c>
      <c r="E271" s="188">
        <f t="shared" si="125"/>
        <v>1.92</v>
      </c>
      <c r="F271" s="188">
        <v>1.92</v>
      </c>
      <c r="G271" s="188">
        <v>0</v>
      </c>
      <c r="H271" s="188">
        <v>0</v>
      </c>
      <c r="I271" s="188">
        <v>0</v>
      </c>
      <c r="J271" s="188">
        <v>0</v>
      </c>
      <c r="K271" s="261">
        <f t="shared" si="124"/>
        <v>1.92</v>
      </c>
      <c r="L271" s="52"/>
      <c r="M271" s="50"/>
      <c r="N271" s="51"/>
      <c r="O271" s="187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6"/>
    </row>
    <row r="272" spans="1:57" s="48" customFormat="1" x14ac:dyDescent="0.2">
      <c r="A272" s="663"/>
      <c r="B272" s="648"/>
      <c r="C272" s="671"/>
      <c r="D272" s="189">
        <v>2023</v>
      </c>
      <c r="E272" s="188">
        <f t="shared" si="125"/>
        <v>1.92</v>
      </c>
      <c r="F272" s="188">
        <v>1.92</v>
      </c>
      <c r="G272" s="188">
        <v>0</v>
      </c>
      <c r="H272" s="188">
        <v>0</v>
      </c>
      <c r="I272" s="188">
        <v>0</v>
      </c>
      <c r="J272" s="188">
        <v>0</v>
      </c>
      <c r="K272" s="261">
        <f t="shared" si="124"/>
        <v>1.92</v>
      </c>
      <c r="L272" s="52"/>
      <c r="M272" s="50"/>
      <c r="N272" s="51"/>
      <c r="O272" s="187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6"/>
    </row>
    <row r="273" spans="1:57" s="48" customFormat="1" x14ac:dyDescent="0.2">
      <c r="A273" s="663"/>
      <c r="B273" s="648"/>
      <c r="C273" s="671"/>
      <c r="D273" s="189">
        <v>2024</v>
      </c>
      <c r="E273" s="188">
        <f t="shared" si="125"/>
        <v>1.92</v>
      </c>
      <c r="F273" s="188">
        <v>1.92</v>
      </c>
      <c r="G273" s="188">
        <v>0</v>
      </c>
      <c r="H273" s="188">
        <v>0</v>
      </c>
      <c r="I273" s="188">
        <v>0</v>
      </c>
      <c r="J273" s="188">
        <v>0</v>
      </c>
      <c r="K273" s="261">
        <f t="shared" si="124"/>
        <v>1.92</v>
      </c>
      <c r="L273" s="52"/>
      <c r="M273" s="50"/>
      <c r="N273" s="51"/>
      <c r="O273" s="187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6"/>
    </row>
    <row r="274" spans="1:57" s="48" customFormat="1" x14ac:dyDescent="0.2">
      <c r="A274" s="663"/>
      <c r="B274" s="648"/>
      <c r="C274" s="672"/>
      <c r="D274" s="189">
        <v>2025</v>
      </c>
      <c r="E274" s="188">
        <f t="shared" si="125"/>
        <v>1.92</v>
      </c>
      <c r="F274" s="188">
        <v>1.92</v>
      </c>
      <c r="G274" s="188">
        <v>0</v>
      </c>
      <c r="H274" s="188">
        <v>0</v>
      </c>
      <c r="I274" s="188">
        <v>0</v>
      </c>
      <c r="J274" s="188">
        <v>0</v>
      </c>
      <c r="K274" s="261">
        <f t="shared" si="124"/>
        <v>1.92</v>
      </c>
      <c r="L274" s="52"/>
      <c r="M274" s="50"/>
      <c r="N274" s="51"/>
      <c r="O274" s="187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6"/>
    </row>
    <row r="275" spans="1:57" s="90" customFormat="1" x14ac:dyDescent="0.2">
      <c r="A275" s="731" t="s">
        <v>385</v>
      </c>
      <c r="B275" s="649" t="s">
        <v>651</v>
      </c>
      <c r="C275" s="649"/>
      <c r="D275" s="46" t="s">
        <v>198</v>
      </c>
      <c r="E275" s="218">
        <f>SUM(E276:E287)</f>
        <v>861.52611999999999</v>
      </c>
      <c r="F275" s="218">
        <f t="shared" ref="F275:J275" si="127">SUM(F276:F287)</f>
        <v>252.12042000000002</v>
      </c>
      <c r="G275" s="218">
        <f t="shared" si="127"/>
        <v>4</v>
      </c>
      <c r="H275" s="218">
        <f t="shared" si="127"/>
        <v>555.33770000000004</v>
      </c>
      <c r="I275" s="218">
        <f t="shared" si="127"/>
        <v>20.599</v>
      </c>
      <c r="J275" s="218">
        <f t="shared" si="127"/>
        <v>29.468999999999998</v>
      </c>
      <c r="K275" s="261">
        <f t="shared" si="124"/>
        <v>861.52612000000011</v>
      </c>
      <c r="L275" s="52"/>
      <c r="M275" s="50"/>
      <c r="N275" s="51"/>
      <c r="O275" s="49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9"/>
    </row>
    <row r="276" spans="1:57" s="90" customFormat="1" x14ac:dyDescent="0.2">
      <c r="A276" s="751"/>
      <c r="B276" s="721"/>
      <c r="C276" s="701"/>
      <c r="D276" s="46">
        <v>2019</v>
      </c>
      <c r="E276" s="47">
        <f>E340+E350</f>
        <v>1.3520000000000001</v>
      </c>
      <c r="F276" s="47">
        <f t="shared" ref="F276:J276" si="128">F340+F350</f>
        <v>1.252</v>
      </c>
      <c r="G276" s="47">
        <f t="shared" si="128"/>
        <v>0</v>
      </c>
      <c r="H276" s="47">
        <f t="shared" si="128"/>
        <v>0</v>
      </c>
      <c r="I276" s="47">
        <f t="shared" si="128"/>
        <v>0</v>
      </c>
      <c r="J276" s="47">
        <f t="shared" si="128"/>
        <v>0.1</v>
      </c>
      <c r="K276" s="261">
        <f t="shared" si="124"/>
        <v>1.3520000000000001</v>
      </c>
      <c r="L276" s="52"/>
      <c r="M276" s="50"/>
      <c r="N276" s="51"/>
      <c r="O276" s="49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9"/>
    </row>
    <row r="277" spans="1:57" s="90" customFormat="1" x14ac:dyDescent="0.2">
      <c r="A277" s="751"/>
      <c r="B277" s="721"/>
      <c r="C277" s="701"/>
      <c r="D277" s="46">
        <v>2020</v>
      </c>
      <c r="E277" s="47">
        <f t="shared" ref="E277:J277" si="129">E297+E318+E351+E337+E353+E355+E357</f>
        <v>48.538200000000003</v>
      </c>
      <c r="F277" s="47">
        <f t="shared" si="129"/>
        <v>0.21859999999999999</v>
      </c>
      <c r="G277" s="47">
        <f t="shared" si="129"/>
        <v>4</v>
      </c>
      <c r="H277" s="47">
        <f t="shared" si="129"/>
        <v>22.361600000000003</v>
      </c>
      <c r="I277" s="47">
        <f t="shared" si="129"/>
        <v>20.599</v>
      </c>
      <c r="J277" s="47">
        <f t="shared" si="129"/>
        <v>1.359</v>
      </c>
      <c r="K277" s="261">
        <f t="shared" si="124"/>
        <v>48.53820000000001</v>
      </c>
      <c r="L277" s="52"/>
      <c r="M277" s="50"/>
      <c r="N277" s="51"/>
      <c r="O277" s="49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9"/>
    </row>
    <row r="278" spans="1:57" s="90" customFormat="1" x14ac:dyDescent="0.2">
      <c r="A278" s="751"/>
      <c r="B278" s="721"/>
      <c r="C278" s="701"/>
      <c r="D278" s="46">
        <v>2021</v>
      </c>
      <c r="E278" s="47">
        <f t="shared" ref="E278:J278" si="130">E319+E334+E338+E291</f>
        <v>128.73240000000001</v>
      </c>
      <c r="F278" s="47">
        <f t="shared" si="130"/>
        <v>0.2298</v>
      </c>
      <c r="G278" s="47">
        <f t="shared" si="130"/>
        <v>0</v>
      </c>
      <c r="H278" s="47">
        <f t="shared" si="130"/>
        <v>122.0826</v>
      </c>
      <c r="I278" s="47">
        <f t="shared" si="130"/>
        <v>0</v>
      </c>
      <c r="J278" s="47">
        <f t="shared" si="130"/>
        <v>6.42</v>
      </c>
      <c r="K278" s="261">
        <f t="shared" si="124"/>
        <v>128.73239999999998</v>
      </c>
      <c r="L278" s="52"/>
      <c r="M278" s="50"/>
      <c r="N278" s="51"/>
      <c r="O278" s="49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9"/>
    </row>
    <row r="279" spans="1:57" s="90" customFormat="1" x14ac:dyDescent="0.2">
      <c r="A279" s="751"/>
      <c r="B279" s="721"/>
      <c r="C279" s="701"/>
      <c r="D279" s="46">
        <v>2022</v>
      </c>
      <c r="E279" s="47">
        <f t="shared" ref="E279:J279" si="131">E299+E308+E320+E335+E339</f>
        <v>13.739100000000001</v>
      </c>
      <c r="F279" s="47">
        <f t="shared" si="131"/>
        <v>0.23649999999999999</v>
      </c>
      <c r="G279" s="47">
        <f t="shared" si="131"/>
        <v>0</v>
      </c>
      <c r="H279" s="47">
        <f t="shared" si="131"/>
        <v>12.832599999999999</v>
      </c>
      <c r="I279" s="47">
        <f t="shared" si="131"/>
        <v>0</v>
      </c>
      <c r="J279" s="47">
        <f t="shared" si="131"/>
        <v>0.66999999999999993</v>
      </c>
      <c r="K279" s="261">
        <f t="shared" si="124"/>
        <v>13.739099999999999</v>
      </c>
      <c r="L279" s="52"/>
      <c r="M279" s="50"/>
      <c r="N279" s="51"/>
      <c r="O279" s="49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9"/>
    </row>
    <row r="280" spans="1:57" s="90" customFormat="1" x14ac:dyDescent="0.2">
      <c r="A280" s="751"/>
      <c r="B280" s="721"/>
      <c r="C280" s="701"/>
      <c r="D280" s="46">
        <v>2023</v>
      </c>
      <c r="E280" s="47">
        <f t="shared" ref="E280:J280" si="132">E289+E293+E305+E321+E332+E309</f>
        <v>154.20733000000001</v>
      </c>
      <c r="F280" s="47">
        <f t="shared" si="132"/>
        <v>2.6430000000000002E-2</v>
      </c>
      <c r="G280" s="47">
        <f t="shared" si="132"/>
        <v>0</v>
      </c>
      <c r="H280" s="47">
        <f t="shared" si="132"/>
        <v>146.50090000000003</v>
      </c>
      <c r="I280" s="47">
        <f t="shared" si="132"/>
        <v>0</v>
      </c>
      <c r="J280" s="47">
        <f t="shared" si="132"/>
        <v>7.68</v>
      </c>
      <c r="K280" s="261">
        <f t="shared" si="124"/>
        <v>154.20733000000004</v>
      </c>
      <c r="L280" s="52"/>
      <c r="M280" s="50"/>
      <c r="N280" s="51"/>
      <c r="O280" s="49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9"/>
    </row>
    <row r="281" spans="1:57" s="90" customFormat="1" x14ac:dyDescent="0.2">
      <c r="A281" s="751"/>
      <c r="B281" s="721"/>
      <c r="C281" s="701"/>
      <c r="D281" s="46">
        <v>2024</v>
      </c>
      <c r="E281" s="47">
        <f>E295+E301+E322+E306</f>
        <v>19.82058</v>
      </c>
      <c r="F281" s="47">
        <f t="shared" ref="F281:J281" si="133">F295+F301+F322+F306</f>
        <v>2.0580000000000001E-2</v>
      </c>
      <c r="G281" s="47">
        <f t="shared" si="133"/>
        <v>0</v>
      </c>
      <c r="H281" s="47">
        <f t="shared" si="133"/>
        <v>18.810000000000002</v>
      </c>
      <c r="I281" s="47">
        <f t="shared" si="133"/>
        <v>0</v>
      </c>
      <c r="J281" s="47">
        <f t="shared" si="133"/>
        <v>0.99</v>
      </c>
      <c r="K281" s="261">
        <f t="shared" si="124"/>
        <v>19.82058</v>
      </c>
      <c r="L281" s="52"/>
      <c r="M281" s="50"/>
      <c r="N281" s="51"/>
      <c r="O281" s="49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9"/>
    </row>
    <row r="282" spans="1:57" s="90" customFormat="1" x14ac:dyDescent="0.2">
      <c r="A282" s="751"/>
      <c r="B282" s="721"/>
      <c r="C282" s="701"/>
      <c r="D282" s="46">
        <v>2025</v>
      </c>
      <c r="E282" s="47">
        <f t="shared" ref="E282:J282" si="134">E303+E323+E348</f>
        <v>125.02058</v>
      </c>
      <c r="F282" s="47">
        <f t="shared" si="134"/>
        <v>2.0580000000000001E-2</v>
      </c>
      <c r="G282" s="47">
        <f t="shared" si="134"/>
        <v>0</v>
      </c>
      <c r="H282" s="47">
        <f t="shared" si="134"/>
        <v>118.75</v>
      </c>
      <c r="I282" s="47">
        <f t="shared" si="134"/>
        <v>0</v>
      </c>
      <c r="J282" s="47">
        <f t="shared" si="134"/>
        <v>6.25</v>
      </c>
      <c r="K282" s="261">
        <f t="shared" si="124"/>
        <v>125.02058</v>
      </c>
      <c r="L282" s="52"/>
      <c r="M282" s="50"/>
      <c r="N282" s="51"/>
      <c r="O282" s="49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9"/>
    </row>
    <row r="283" spans="1:57" s="90" customFormat="1" ht="16.5" customHeight="1" x14ac:dyDescent="0.2">
      <c r="A283" s="751"/>
      <c r="B283" s="721"/>
      <c r="C283" s="701"/>
      <c r="D283" s="46">
        <v>2026</v>
      </c>
      <c r="E283" s="47">
        <f t="shared" ref="E283:J283" si="135">E346+E324</f>
        <v>120.0214</v>
      </c>
      <c r="F283" s="47">
        <f t="shared" si="135"/>
        <v>2.1399999999999999E-2</v>
      </c>
      <c r="G283" s="47">
        <f t="shared" si="135"/>
        <v>0</v>
      </c>
      <c r="H283" s="47">
        <f t="shared" si="135"/>
        <v>114</v>
      </c>
      <c r="I283" s="47">
        <f t="shared" si="135"/>
        <v>0</v>
      </c>
      <c r="J283" s="47">
        <f t="shared" si="135"/>
        <v>6</v>
      </c>
      <c r="K283" s="261">
        <f t="shared" si="124"/>
        <v>120.0214</v>
      </c>
      <c r="L283" s="52"/>
      <c r="M283" s="50"/>
      <c r="N283" s="51"/>
      <c r="O283" s="49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9"/>
    </row>
    <row r="284" spans="1:57" s="90" customFormat="1" x14ac:dyDescent="0.2">
      <c r="A284" s="751"/>
      <c r="B284" s="721"/>
      <c r="C284" s="701"/>
      <c r="D284" s="46">
        <v>2027</v>
      </c>
      <c r="E284" s="47">
        <f>E325</f>
        <v>2.2259999999999999E-2</v>
      </c>
      <c r="F284" s="47">
        <f t="shared" ref="F284:J284" si="136">F325</f>
        <v>2.2259999999999999E-2</v>
      </c>
      <c r="G284" s="47">
        <f t="shared" si="136"/>
        <v>0</v>
      </c>
      <c r="H284" s="47">
        <f t="shared" si="136"/>
        <v>0</v>
      </c>
      <c r="I284" s="47">
        <f t="shared" si="136"/>
        <v>0</v>
      </c>
      <c r="J284" s="47">
        <f t="shared" si="136"/>
        <v>0</v>
      </c>
      <c r="K284" s="261">
        <f t="shared" si="124"/>
        <v>2.2259999999999999E-2</v>
      </c>
      <c r="L284" s="52"/>
      <c r="M284" s="50"/>
      <c r="N284" s="51"/>
      <c r="O284" s="49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9"/>
    </row>
    <row r="285" spans="1:57" s="90" customFormat="1" x14ac:dyDescent="0.2">
      <c r="A285" s="751"/>
      <c r="B285" s="721"/>
      <c r="C285" s="701"/>
      <c r="D285" s="46">
        <v>2028</v>
      </c>
      <c r="E285" s="47">
        <f t="shared" ref="E285:J287" si="137">E326+E343</f>
        <v>24.023150000000001</v>
      </c>
      <c r="F285" s="47">
        <f t="shared" si="137"/>
        <v>24.023150000000001</v>
      </c>
      <c r="G285" s="47">
        <f t="shared" si="137"/>
        <v>0</v>
      </c>
      <c r="H285" s="47">
        <f t="shared" si="137"/>
        <v>0</v>
      </c>
      <c r="I285" s="47">
        <f t="shared" si="137"/>
        <v>0</v>
      </c>
      <c r="J285" s="47">
        <f t="shared" si="137"/>
        <v>0</v>
      </c>
      <c r="K285" s="261">
        <f t="shared" si="124"/>
        <v>24.023150000000001</v>
      </c>
      <c r="L285" s="52"/>
      <c r="M285" s="50"/>
      <c r="N285" s="51"/>
      <c r="O285" s="49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9"/>
    </row>
    <row r="286" spans="1:57" s="90" customFormat="1" x14ac:dyDescent="0.2">
      <c r="A286" s="751"/>
      <c r="B286" s="721"/>
      <c r="C286" s="701"/>
      <c r="D286" s="46">
        <v>2029</v>
      </c>
      <c r="E286" s="47">
        <f t="shared" si="137"/>
        <v>110.02408</v>
      </c>
      <c r="F286" s="47">
        <f t="shared" si="137"/>
        <v>110.02408</v>
      </c>
      <c r="G286" s="47">
        <f t="shared" si="137"/>
        <v>0</v>
      </c>
      <c r="H286" s="47">
        <f t="shared" si="137"/>
        <v>0</v>
      </c>
      <c r="I286" s="47">
        <f t="shared" si="137"/>
        <v>0</v>
      </c>
      <c r="J286" s="47">
        <f t="shared" si="137"/>
        <v>0</v>
      </c>
      <c r="K286" s="261">
        <f t="shared" si="124"/>
        <v>110.02408</v>
      </c>
      <c r="L286" s="52"/>
      <c r="M286" s="50"/>
      <c r="N286" s="51"/>
      <c r="O286" s="49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9"/>
    </row>
    <row r="287" spans="1:57" s="90" customFormat="1" x14ac:dyDescent="0.2">
      <c r="A287" s="751"/>
      <c r="B287" s="877"/>
      <c r="C287" s="701"/>
      <c r="D287" s="46">
        <v>2030</v>
      </c>
      <c r="E287" s="47">
        <f t="shared" si="137"/>
        <v>116.02504</v>
      </c>
      <c r="F287" s="47">
        <f t="shared" si="137"/>
        <v>116.02504</v>
      </c>
      <c r="G287" s="47">
        <f t="shared" si="137"/>
        <v>0</v>
      </c>
      <c r="H287" s="47">
        <f t="shared" si="137"/>
        <v>0</v>
      </c>
      <c r="I287" s="47">
        <f t="shared" si="137"/>
        <v>0</v>
      </c>
      <c r="J287" s="47">
        <f t="shared" si="137"/>
        <v>0</v>
      </c>
      <c r="K287" s="261">
        <f t="shared" si="124"/>
        <v>116.02504</v>
      </c>
      <c r="L287" s="52"/>
      <c r="M287" s="50"/>
      <c r="N287" s="51"/>
      <c r="O287" s="49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9"/>
    </row>
    <row r="288" spans="1:57" s="48" customFormat="1" ht="30" customHeight="1" x14ac:dyDescent="0.2">
      <c r="A288" s="697" t="s">
        <v>378</v>
      </c>
      <c r="B288" s="631" t="s">
        <v>435</v>
      </c>
      <c r="C288" s="631" t="s">
        <v>393</v>
      </c>
      <c r="D288" s="46" t="s">
        <v>198</v>
      </c>
      <c r="E288" s="218">
        <f>E289</f>
        <v>120</v>
      </c>
      <c r="F288" s="218">
        <f t="shared" ref="F288:J288" si="138">F289</f>
        <v>0</v>
      </c>
      <c r="G288" s="218">
        <f t="shared" si="138"/>
        <v>0</v>
      </c>
      <c r="H288" s="218">
        <f t="shared" si="138"/>
        <v>114</v>
      </c>
      <c r="I288" s="218">
        <f t="shared" si="138"/>
        <v>0</v>
      </c>
      <c r="J288" s="218">
        <f t="shared" si="138"/>
        <v>6</v>
      </c>
      <c r="K288" s="261">
        <f t="shared" si="124"/>
        <v>120</v>
      </c>
      <c r="L288" s="52"/>
      <c r="M288" s="50"/>
      <c r="N288" s="51"/>
      <c r="O288" s="746" t="s">
        <v>233</v>
      </c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6"/>
    </row>
    <row r="289" spans="1:57" s="48" customFormat="1" ht="36" customHeight="1" x14ac:dyDescent="0.2">
      <c r="A289" s="734"/>
      <c r="B289" s="702"/>
      <c r="C289" s="702"/>
      <c r="D289" s="46">
        <v>2023</v>
      </c>
      <c r="E289" s="188">
        <f>F289+G289+H289+I289+J289</f>
        <v>120</v>
      </c>
      <c r="F289" s="188">
        <v>0</v>
      </c>
      <c r="G289" s="188">
        <v>0</v>
      </c>
      <c r="H289" s="188">
        <v>114</v>
      </c>
      <c r="I289" s="188">
        <v>0</v>
      </c>
      <c r="J289" s="188">
        <v>6</v>
      </c>
      <c r="K289" s="261">
        <f t="shared" si="124"/>
        <v>120</v>
      </c>
      <c r="L289" s="212" t="s">
        <v>469</v>
      </c>
      <c r="M289" s="50"/>
      <c r="N289" s="213"/>
      <c r="O289" s="726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6"/>
    </row>
    <row r="290" spans="1:57" s="48" customFormat="1" ht="15.75" customHeight="1" x14ac:dyDescent="0.2">
      <c r="A290" s="697" t="s">
        <v>379</v>
      </c>
      <c r="B290" s="631" t="s">
        <v>425</v>
      </c>
      <c r="C290" s="631" t="s">
        <v>394</v>
      </c>
      <c r="D290" s="46" t="s">
        <v>198</v>
      </c>
      <c r="E290" s="47">
        <f>E291</f>
        <v>120</v>
      </c>
      <c r="F290" s="47">
        <f t="shared" ref="F290:J290" si="139">F291</f>
        <v>0</v>
      </c>
      <c r="G290" s="47">
        <f t="shared" si="139"/>
        <v>0</v>
      </c>
      <c r="H290" s="47">
        <f t="shared" si="139"/>
        <v>114</v>
      </c>
      <c r="I290" s="47">
        <f t="shared" si="139"/>
        <v>0</v>
      </c>
      <c r="J290" s="47">
        <f t="shared" si="139"/>
        <v>6</v>
      </c>
      <c r="K290" s="261">
        <f t="shared" si="124"/>
        <v>120</v>
      </c>
      <c r="L290" s="160" t="s">
        <v>470</v>
      </c>
      <c r="M290" s="50"/>
      <c r="N290" s="51"/>
      <c r="O290" s="746" t="s">
        <v>235</v>
      </c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6"/>
    </row>
    <row r="291" spans="1:57" s="48" customFormat="1" ht="36.75" customHeight="1" x14ac:dyDescent="0.2">
      <c r="A291" s="699"/>
      <c r="B291" s="632"/>
      <c r="C291" s="632"/>
      <c r="D291" s="46">
        <v>2021</v>
      </c>
      <c r="E291" s="188">
        <f>F291+G291+H291+I291+J291</f>
        <v>120</v>
      </c>
      <c r="F291" s="188">
        <v>0</v>
      </c>
      <c r="G291" s="188">
        <v>0</v>
      </c>
      <c r="H291" s="188">
        <v>114</v>
      </c>
      <c r="I291" s="188">
        <v>0</v>
      </c>
      <c r="J291" s="188">
        <v>6</v>
      </c>
      <c r="K291" s="261">
        <f t="shared" si="124"/>
        <v>120</v>
      </c>
      <c r="L291" s="185"/>
      <c r="M291" s="50"/>
      <c r="N291" s="63"/>
      <c r="O291" s="72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6"/>
    </row>
    <row r="292" spans="1:57" s="48" customFormat="1" x14ac:dyDescent="0.2">
      <c r="A292" s="697" t="s">
        <v>652</v>
      </c>
      <c r="B292" s="631" t="s">
        <v>404</v>
      </c>
      <c r="C292" s="631" t="s">
        <v>405</v>
      </c>
      <c r="D292" s="46" t="s">
        <v>198</v>
      </c>
      <c r="E292" s="47">
        <f>E293</f>
        <v>16.8</v>
      </c>
      <c r="F292" s="47">
        <f t="shared" ref="F292:J292" si="140">F293</f>
        <v>0</v>
      </c>
      <c r="G292" s="47">
        <f t="shared" si="140"/>
        <v>0</v>
      </c>
      <c r="H292" s="47">
        <f t="shared" si="140"/>
        <v>15.96</v>
      </c>
      <c r="I292" s="47">
        <f t="shared" si="140"/>
        <v>0</v>
      </c>
      <c r="J292" s="47">
        <f t="shared" si="140"/>
        <v>0.84</v>
      </c>
      <c r="K292" s="261">
        <f t="shared" si="124"/>
        <v>16.8</v>
      </c>
      <c r="L292" s="812"/>
      <c r="M292" s="50"/>
      <c r="N292" s="802"/>
      <c r="O292" s="72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6"/>
    </row>
    <row r="293" spans="1:57" s="48" customFormat="1" ht="26.25" customHeight="1" x14ac:dyDescent="0.2">
      <c r="A293" s="792"/>
      <c r="B293" s="702"/>
      <c r="C293" s="702"/>
      <c r="D293" s="46">
        <v>2023</v>
      </c>
      <c r="E293" s="188">
        <f>F293+G293+H293+I293+J293</f>
        <v>16.8</v>
      </c>
      <c r="F293" s="188">
        <v>0</v>
      </c>
      <c r="G293" s="188">
        <v>0</v>
      </c>
      <c r="H293" s="188">
        <v>15.96</v>
      </c>
      <c r="I293" s="188">
        <v>0</v>
      </c>
      <c r="J293" s="188">
        <v>0.84</v>
      </c>
      <c r="K293" s="261">
        <f t="shared" si="124"/>
        <v>16.8</v>
      </c>
      <c r="L293" s="813"/>
      <c r="M293" s="50"/>
      <c r="N293" s="803"/>
      <c r="O293" s="726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6"/>
    </row>
    <row r="294" spans="1:57" s="48" customFormat="1" x14ac:dyDescent="0.2">
      <c r="A294" s="697" t="s">
        <v>653</v>
      </c>
      <c r="B294" s="631" t="s">
        <v>407</v>
      </c>
      <c r="C294" s="631" t="s">
        <v>405</v>
      </c>
      <c r="D294" s="46" t="s">
        <v>198</v>
      </c>
      <c r="E294" s="47">
        <f>E295</f>
        <v>16.8</v>
      </c>
      <c r="F294" s="47">
        <f t="shared" ref="F294:J294" si="141">F295</f>
        <v>0</v>
      </c>
      <c r="G294" s="47">
        <f t="shared" si="141"/>
        <v>0</v>
      </c>
      <c r="H294" s="47">
        <f t="shared" si="141"/>
        <v>15.96</v>
      </c>
      <c r="I294" s="47">
        <f t="shared" si="141"/>
        <v>0</v>
      </c>
      <c r="J294" s="47">
        <f t="shared" si="141"/>
        <v>0.84</v>
      </c>
      <c r="K294" s="261">
        <f t="shared" si="124"/>
        <v>16.8</v>
      </c>
      <c r="L294" s="812"/>
      <c r="M294" s="50"/>
      <c r="N294" s="814"/>
      <c r="O294" s="862" t="s">
        <v>409</v>
      </c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6"/>
    </row>
    <row r="295" spans="1:57" s="48" customFormat="1" ht="25.5" customHeight="1" x14ac:dyDescent="0.2">
      <c r="A295" s="699"/>
      <c r="B295" s="702"/>
      <c r="C295" s="702"/>
      <c r="D295" s="189">
        <v>2024</v>
      </c>
      <c r="E295" s="188">
        <f>F295+G295+H295+I295+J295</f>
        <v>16.8</v>
      </c>
      <c r="F295" s="188">
        <v>0</v>
      </c>
      <c r="G295" s="188">
        <v>0</v>
      </c>
      <c r="H295" s="188">
        <v>15.96</v>
      </c>
      <c r="I295" s="188">
        <v>0</v>
      </c>
      <c r="J295" s="188">
        <v>0.84</v>
      </c>
      <c r="K295" s="261">
        <f t="shared" si="124"/>
        <v>16.8</v>
      </c>
      <c r="L295" s="813"/>
      <c r="M295" s="50"/>
      <c r="N295" s="815"/>
      <c r="O295" s="778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6"/>
    </row>
    <row r="296" spans="1:57" s="48" customFormat="1" x14ac:dyDescent="0.2">
      <c r="A296" s="697" t="s">
        <v>654</v>
      </c>
      <c r="B296" s="631" t="s">
        <v>411</v>
      </c>
      <c r="C296" s="631" t="s">
        <v>408</v>
      </c>
      <c r="D296" s="46" t="s">
        <v>198</v>
      </c>
      <c r="E296" s="47">
        <f>E297</f>
        <v>16.8</v>
      </c>
      <c r="F296" s="47">
        <f t="shared" ref="F296:J300" si="142">F297</f>
        <v>0</v>
      </c>
      <c r="G296" s="47">
        <f t="shared" si="142"/>
        <v>0</v>
      </c>
      <c r="H296" s="47">
        <f t="shared" si="142"/>
        <v>15.96</v>
      </c>
      <c r="I296" s="47">
        <f t="shared" si="142"/>
        <v>0</v>
      </c>
      <c r="J296" s="47">
        <f t="shared" si="142"/>
        <v>0.84</v>
      </c>
      <c r="K296" s="261">
        <f t="shared" si="124"/>
        <v>16.8</v>
      </c>
      <c r="L296" s="812"/>
      <c r="M296" s="50"/>
      <c r="N296" s="814"/>
      <c r="O296" s="862" t="s">
        <v>412</v>
      </c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6"/>
    </row>
    <row r="297" spans="1:57" s="48" customFormat="1" ht="23.25" customHeight="1" x14ac:dyDescent="0.2">
      <c r="A297" s="699"/>
      <c r="B297" s="632"/>
      <c r="C297" s="632"/>
      <c r="D297" s="189">
        <v>2020</v>
      </c>
      <c r="E297" s="188">
        <f>F297+G297+H297+I297+J297</f>
        <v>16.8</v>
      </c>
      <c r="F297" s="188">
        <v>0</v>
      </c>
      <c r="G297" s="188">
        <v>0</v>
      </c>
      <c r="H297" s="188">
        <v>15.96</v>
      </c>
      <c r="I297" s="188">
        <v>0</v>
      </c>
      <c r="J297" s="188">
        <v>0.84</v>
      </c>
      <c r="K297" s="261">
        <f t="shared" si="124"/>
        <v>16.8</v>
      </c>
      <c r="L297" s="813"/>
      <c r="M297" s="50"/>
      <c r="N297" s="815"/>
      <c r="O297" s="778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6"/>
    </row>
    <row r="298" spans="1:57" s="48" customFormat="1" x14ac:dyDescent="0.2">
      <c r="A298" s="665" t="s">
        <v>655</v>
      </c>
      <c r="B298" s="631" t="s">
        <v>583</v>
      </c>
      <c r="C298" s="631" t="s">
        <v>408</v>
      </c>
      <c r="D298" s="46" t="s">
        <v>198</v>
      </c>
      <c r="E298" s="47">
        <f>E299</f>
        <v>5</v>
      </c>
      <c r="F298" s="47">
        <f t="shared" si="142"/>
        <v>0</v>
      </c>
      <c r="G298" s="47">
        <f t="shared" si="142"/>
        <v>0</v>
      </c>
      <c r="H298" s="47">
        <f t="shared" si="142"/>
        <v>4.75</v>
      </c>
      <c r="I298" s="47">
        <f t="shared" si="142"/>
        <v>0</v>
      </c>
      <c r="J298" s="47">
        <f t="shared" si="142"/>
        <v>0.25</v>
      </c>
      <c r="K298" s="261">
        <f t="shared" si="124"/>
        <v>5</v>
      </c>
      <c r="L298" s="812"/>
      <c r="M298" s="50"/>
      <c r="N298" s="214"/>
      <c r="O298" s="638" t="s">
        <v>595</v>
      </c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6"/>
    </row>
    <row r="299" spans="1:57" s="48" customFormat="1" ht="21.75" customHeight="1" x14ac:dyDescent="0.2">
      <c r="A299" s="665"/>
      <c r="B299" s="632"/>
      <c r="C299" s="632"/>
      <c r="D299" s="46">
        <v>2022</v>
      </c>
      <c r="E299" s="188">
        <f>F299+G299+H299+I299+J299</f>
        <v>5</v>
      </c>
      <c r="F299" s="188">
        <v>0</v>
      </c>
      <c r="G299" s="188">
        <v>0</v>
      </c>
      <c r="H299" s="188">
        <v>4.75</v>
      </c>
      <c r="I299" s="188">
        <v>0</v>
      </c>
      <c r="J299" s="188">
        <v>0.25</v>
      </c>
      <c r="K299" s="261">
        <f t="shared" si="124"/>
        <v>5</v>
      </c>
      <c r="L299" s="813"/>
      <c r="M299" s="50"/>
      <c r="N299" s="214"/>
      <c r="O299" s="639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6"/>
    </row>
    <row r="300" spans="1:57" s="48" customFormat="1" x14ac:dyDescent="0.2">
      <c r="A300" s="665" t="s">
        <v>656</v>
      </c>
      <c r="B300" s="631" t="s">
        <v>584</v>
      </c>
      <c r="C300" s="631" t="s">
        <v>408</v>
      </c>
      <c r="D300" s="46" t="s">
        <v>198</v>
      </c>
      <c r="E300" s="47">
        <f>E301</f>
        <v>3</v>
      </c>
      <c r="F300" s="47">
        <f t="shared" si="142"/>
        <v>0</v>
      </c>
      <c r="G300" s="47">
        <f t="shared" si="142"/>
        <v>0</v>
      </c>
      <c r="H300" s="47">
        <f t="shared" si="142"/>
        <v>2.85</v>
      </c>
      <c r="I300" s="47">
        <f t="shared" si="142"/>
        <v>0</v>
      </c>
      <c r="J300" s="47">
        <f t="shared" si="142"/>
        <v>0.15</v>
      </c>
      <c r="K300" s="261">
        <f t="shared" si="124"/>
        <v>3</v>
      </c>
      <c r="L300" s="812"/>
      <c r="M300" s="50"/>
      <c r="N300" s="214"/>
      <c r="O300" s="639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6"/>
    </row>
    <row r="301" spans="1:57" s="48" customFormat="1" x14ac:dyDescent="0.2">
      <c r="A301" s="665"/>
      <c r="B301" s="632"/>
      <c r="C301" s="632"/>
      <c r="D301" s="46">
        <v>2024</v>
      </c>
      <c r="E301" s="188">
        <f>F301+G301+H301+I301+J301</f>
        <v>3</v>
      </c>
      <c r="F301" s="188">
        <v>0</v>
      </c>
      <c r="G301" s="188">
        <v>0</v>
      </c>
      <c r="H301" s="188">
        <v>2.85</v>
      </c>
      <c r="I301" s="188">
        <v>0</v>
      </c>
      <c r="J301" s="188">
        <v>0.15</v>
      </c>
      <c r="K301" s="261">
        <f t="shared" si="124"/>
        <v>3</v>
      </c>
      <c r="L301" s="813"/>
      <c r="M301" s="50"/>
      <c r="N301" s="214"/>
      <c r="O301" s="640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6"/>
    </row>
    <row r="302" spans="1:57" s="48" customFormat="1" x14ac:dyDescent="0.2">
      <c r="A302" s="697" t="s">
        <v>657</v>
      </c>
      <c r="B302" s="631" t="s">
        <v>413</v>
      </c>
      <c r="C302" s="631" t="s">
        <v>408</v>
      </c>
      <c r="D302" s="46" t="s">
        <v>198</v>
      </c>
      <c r="E302" s="47">
        <f>E303</f>
        <v>5</v>
      </c>
      <c r="F302" s="47">
        <f t="shared" ref="F302:J302" si="143">F303</f>
        <v>0</v>
      </c>
      <c r="G302" s="47">
        <f t="shared" si="143"/>
        <v>0</v>
      </c>
      <c r="H302" s="47">
        <f t="shared" si="143"/>
        <v>4.75</v>
      </c>
      <c r="I302" s="47">
        <f t="shared" si="143"/>
        <v>0</v>
      </c>
      <c r="J302" s="47">
        <f t="shared" si="143"/>
        <v>0.25</v>
      </c>
      <c r="K302" s="261">
        <f t="shared" si="124"/>
        <v>5</v>
      </c>
      <c r="L302" s="852"/>
      <c r="M302" s="50"/>
      <c r="N302" s="814"/>
      <c r="O302" s="862" t="s">
        <v>414</v>
      </c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6"/>
    </row>
    <row r="303" spans="1:57" s="48" customFormat="1" x14ac:dyDescent="0.2">
      <c r="A303" s="699"/>
      <c r="B303" s="632"/>
      <c r="C303" s="632"/>
      <c r="D303" s="189">
        <v>2025</v>
      </c>
      <c r="E303" s="188">
        <f>F303+G303+H303+I303+J303</f>
        <v>5</v>
      </c>
      <c r="F303" s="188">
        <v>0</v>
      </c>
      <c r="G303" s="188">
        <v>0</v>
      </c>
      <c r="H303" s="188">
        <v>4.75</v>
      </c>
      <c r="I303" s="188">
        <v>0</v>
      </c>
      <c r="J303" s="188">
        <v>0.25</v>
      </c>
      <c r="K303" s="261">
        <f t="shared" si="124"/>
        <v>5</v>
      </c>
      <c r="L303" s="853"/>
      <c r="M303" s="50"/>
      <c r="N303" s="815"/>
      <c r="O303" s="778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6"/>
    </row>
    <row r="304" spans="1:57" s="48" customFormat="1" ht="27.75" customHeight="1" x14ac:dyDescent="0.2">
      <c r="A304" s="697" t="s">
        <v>658</v>
      </c>
      <c r="B304" s="688" t="s">
        <v>589</v>
      </c>
      <c r="C304" s="631" t="s">
        <v>892</v>
      </c>
      <c r="D304" s="46" t="s">
        <v>198</v>
      </c>
      <c r="E304" s="47">
        <f>E305</f>
        <v>0.58674999999999999</v>
      </c>
      <c r="F304" s="47">
        <f t="shared" ref="F304:J304" si="144">F305</f>
        <v>5.8500000000000002E-3</v>
      </c>
      <c r="G304" s="47">
        <f t="shared" si="144"/>
        <v>0</v>
      </c>
      <c r="H304" s="47">
        <f t="shared" si="144"/>
        <v>0.58089999999999997</v>
      </c>
      <c r="I304" s="47">
        <f t="shared" si="144"/>
        <v>0</v>
      </c>
      <c r="J304" s="47">
        <f t="shared" si="144"/>
        <v>0</v>
      </c>
      <c r="K304" s="261">
        <f t="shared" si="124"/>
        <v>0.58674999999999999</v>
      </c>
      <c r="L304" s="806"/>
      <c r="M304" s="50"/>
      <c r="N304" s="814"/>
      <c r="O304" s="862" t="s">
        <v>852</v>
      </c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6"/>
    </row>
    <row r="305" spans="1:57" s="330" customFormat="1" ht="24" customHeight="1" x14ac:dyDescent="0.2">
      <c r="A305" s="698"/>
      <c r="B305" s="689"/>
      <c r="C305" s="648"/>
      <c r="D305" s="331">
        <v>2019</v>
      </c>
      <c r="E305" s="332">
        <f>F305+G305+H305+I305+J305</f>
        <v>0.58674999999999999</v>
      </c>
      <c r="F305" s="332">
        <v>5.8500000000000002E-3</v>
      </c>
      <c r="G305" s="332">
        <v>0</v>
      </c>
      <c r="H305" s="332">
        <v>0.58089999999999997</v>
      </c>
      <c r="I305" s="332">
        <v>0</v>
      </c>
      <c r="J305" s="332">
        <v>0</v>
      </c>
      <c r="K305" s="325">
        <f t="shared" si="124"/>
        <v>0.58674999999999999</v>
      </c>
      <c r="L305" s="830"/>
      <c r="M305" s="326"/>
      <c r="N305" s="872"/>
      <c r="O305" s="725"/>
      <c r="P305" s="328"/>
      <c r="Q305" s="328"/>
      <c r="R305" s="328"/>
      <c r="S305" s="328"/>
      <c r="T305" s="328"/>
      <c r="U305" s="328"/>
      <c r="V305" s="328"/>
      <c r="W305" s="328"/>
      <c r="X305" s="328"/>
      <c r="Y305" s="328"/>
      <c r="Z305" s="328"/>
      <c r="AA305" s="328"/>
      <c r="AB305" s="328"/>
      <c r="AC305" s="328"/>
      <c r="AD305" s="328"/>
      <c r="AE305" s="328"/>
      <c r="AF305" s="328"/>
      <c r="AG305" s="328"/>
      <c r="AH305" s="328"/>
      <c r="AI305" s="328"/>
      <c r="AJ305" s="328"/>
      <c r="AK305" s="328"/>
      <c r="AL305" s="328"/>
      <c r="AM305" s="328"/>
      <c r="AN305" s="328"/>
      <c r="AO305" s="328"/>
      <c r="AP305" s="328"/>
      <c r="AQ305" s="328"/>
      <c r="AR305" s="328"/>
      <c r="AS305" s="328"/>
      <c r="AT305" s="328"/>
      <c r="AU305" s="328"/>
      <c r="AV305" s="328"/>
      <c r="AW305" s="328"/>
      <c r="AX305" s="328"/>
      <c r="AY305" s="328"/>
      <c r="AZ305" s="328"/>
      <c r="BA305" s="328"/>
      <c r="BB305" s="328"/>
      <c r="BC305" s="328"/>
      <c r="BD305" s="328"/>
      <c r="BE305" s="329"/>
    </row>
    <row r="306" spans="1:57" s="48" customFormat="1" ht="24" customHeight="1" x14ac:dyDescent="0.2">
      <c r="A306" s="699"/>
      <c r="B306" s="690"/>
      <c r="C306" s="648"/>
      <c r="D306" s="189">
        <v>2024</v>
      </c>
      <c r="E306" s="188">
        <f>F306+G306+H306+I306+J306</f>
        <v>0</v>
      </c>
      <c r="F306" s="188">
        <v>0</v>
      </c>
      <c r="G306" s="188">
        <v>0</v>
      </c>
      <c r="H306" s="188">
        <v>0</v>
      </c>
      <c r="I306" s="188">
        <v>0</v>
      </c>
      <c r="J306" s="188">
        <v>0</v>
      </c>
      <c r="K306" s="261">
        <f t="shared" si="124"/>
        <v>0</v>
      </c>
      <c r="L306" s="830"/>
      <c r="M306" s="50"/>
      <c r="N306" s="872"/>
      <c r="O306" s="72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6"/>
    </row>
    <row r="307" spans="1:57" s="48" customFormat="1" ht="12.75" customHeight="1" x14ac:dyDescent="0.2">
      <c r="A307" s="697" t="s">
        <v>659</v>
      </c>
      <c r="B307" s="631" t="s">
        <v>590</v>
      </c>
      <c r="C307" s="648"/>
      <c r="D307" s="46" t="s">
        <v>513</v>
      </c>
      <c r="E307" s="47">
        <f>E308</f>
        <v>0</v>
      </c>
      <c r="F307" s="47">
        <f t="shared" ref="F307:J307" si="145">F308</f>
        <v>0</v>
      </c>
      <c r="G307" s="47">
        <f t="shared" si="145"/>
        <v>0</v>
      </c>
      <c r="H307" s="47">
        <f t="shared" si="145"/>
        <v>0</v>
      </c>
      <c r="I307" s="47">
        <f t="shared" si="145"/>
        <v>0</v>
      </c>
      <c r="J307" s="47">
        <f t="shared" si="145"/>
        <v>0</v>
      </c>
      <c r="K307" s="261">
        <f t="shared" si="124"/>
        <v>0</v>
      </c>
      <c r="L307" s="830"/>
      <c r="M307" s="50"/>
      <c r="N307" s="872"/>
      <c r="O307" s="72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6"/>
    </row>
    <row r="308" spans="1:57" s="48" customFormat="1" ht="21.75" customHeight="1" x14ac:dyDescent="0.2">
      <c r="A308" s="698"/>
      <c r="B308" s="648"/>
      <c r="C308" s="648"/>
      <c r="D308" s="189">
        <v>2022</v>
      </c>
      <c r="E308" s="188">
        <v>0</v>
      </c>
      <c r="F308" s="188">
        <v>0</v>
      </c>
      <c r="G308" s="188">
        <v>0</v>
      </c>
      <c r="H308" s="188">
        <v>0</v>
      </c>
      <c r="I308" s="188">
        <v>0</v>
      </c>
      <c r="J308" s="188">
        <v>0</v>
      </c>
      <c r="K308" s="261">
        <f t="shared" si="124"/>
        <v>0</v>
      </c>
      <c r="L308" s="830"/>
      <c r="M308" s="50"/>
      <c r="N308" s="872"/>
      <c r="O308" s="72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6"/>
    </row>
    <row r="309" spans="1:57" s="48" customFormat="1" ht="23.25" customHeight="1" x14ac:dyDescent="0.2">
      <c r="A309" s="699"/>
      <c r="B309" s="632"/>
      <c r="C309" s="632"/>
      <c r="D309" s="189">
        <v>2023</v>
      </c>
      <c r="E309" s="188">
        <v>0</v>
      </c>
      <c r="F309" s="188">
        <v>0</v>
      </c>
      <c r="G309" s="188">
        <v>0</v>
      </c>
      <c r="H309" s="188">
        <v>0</v>
      </c>
      <c r="I309" s="188">
        <v>0</v>
      </c>
      <c r="J309" s="188">
        <v>0</v>
      </c>
      <c r="K309" s="261">
        <f t="shared" si="124"/>
        <v>0</v>
      </c>
      <c r="L309" s="215"/>
      <c r="M309" s="50"/>
      <c r="N309" s="216"/>
      <c r="O309" s="274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6"/>
    </row>
    <row r="310" spans="1:57" s="330" customFormat="1" x14ac:dyDescent="0.2">
      <c r="A310" s="692"/>
      <c r="B310" s="656" t="s">
        <v>1054</v>
      </c>
      <c r="C310" s="693"/>
      <c r="D310" s="323" t="s">
        <v>513</v>
      </c>
      <c r="E310" s="332">
        <f>F310+G310+H310+I310+J310</f>
        <v>1.8982000000000001</v>
      </c>
      <c r="F310" s="332">
        <v>0.94910000000000005</v>
      </c>
      <c r="G310" s="332">
        <v>0</v>
      </c>
      <c r="H310" s="332">
        <v>0.94910000000000005</v>
      </c>
      <c r="I310" s="332">
        <v>0</v>
      </c>
      <c r="J310" s="332">
        <v>0</v>
      </c>
      <c r="K310" s="325">
        <f t="shared" si="124"/>
        <v>1.8982000000000001</v>
      </c>
      <c r="L310" s="367"/>
      <c r="M310" s="326"/>
      <c r="N310" s="368"/>
      <c r="O310" s="369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8"/>
      <c r="AA310" s="328"/>
      <c r="AB310" s="328"/>
      <c r="AC310" s="328"/>
      <c r="AD310" s="328"/>
      <c r="AE310" s="328"/>
      <c r="AF310" s="328"/>
      <c r="AG310" s="328"/>
      <c r="AH310" s="328"/>
      <c r="AI310" s="328"/>
      <c r="AJ310" s="328"/>
      <c r="AK310" s="328"/>
      <c r="AL310" s="328"/>
      <c r="AM310" s="328"/>
      <c r="AN310" s="328"/>
      <c r="AO310" s="328"/>
      <c r="AP310" s="328"/>
      <c r="AQ310" s="328"/>
      <c r="AR310" s="328"/>
      <c r="AS310" s="328"/>
      <c r="AT310" s="328"/>
      <c r="AU310" s="328"/>
      <c r="AV310" s="328"/>
      <c r="AW310" s="328"/>
      <c r="AX310" s="328"/>
      <c r="AY310" s="328"/>
      <c r="AZ310" s="328"/>
      <c r="BA310" s="328"/>
      <c r="BB310" s="328"/>
      <c r="BC310" s="328"/>
      <c r="BD310" s="328"/>
      <c r="BE310" s="329"/>
    </row>
    <row r="311" spans="1:57" s="330" customFormat="1" ht="84.75" customHeight="1" x14ac:dyDescent="0.2">
      <c r="A311" s="655"/>
      <c r="B311" s="658"/>
      <c r="C311" s="694"/>
      <c r="D311" s="331">
        <v>2020</v>
      </c>
      <c r="E311" s="332">
        <f>F311+G311+H311+I311+J311</f>
        <v>1.8982000000000001</v>
      </c>
      <c r="F311" s="332">
        <f>F310</f>
        <v>0.94910000000000005</v>
      </c>
      <c r="G311" s="332">
        <f t="shared" ref="G311:J311" si="146">G310</f>
        <v>0</v>
      </c>
      <c r="H311" s="332">
        <f t="shared" si="146"/>
        <v>0.94910000000000005</v>
      </c>
      <c r="I311" s="332">
        <f t="shared" si="146"/>
        <v>0</v>
      </c>
      <c r="J311" s="332">
        <f t="shared" si="146"/>
        <v>0</v>
      </c>
      <c r="K311" s="325"/>
      <c r="L311" s="367"/>
      <c r="M311" s="326"/>
      <c r="N311" s="368"/>
      <c r="O311" s="369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  <c r="AA311" s="328"/>
      <c r="AB311" s="328"/>
      <c r="AC311" s="328"/>
      <c r="AD311" s="328"/>
      <c r="AE311" s="328"/>
      <c r="AF311" s="328"/>
      <c r="AG311" s="328"/>
      <c r="AH311" s="328"/>
      <c r="AI311" s="328"/>
      <c r="AJ311" s="328"/>
      <c r="AK311" s="328"/>
      <c r="AL311" s="328"/>
      <c r="AM311" s="328"/>
      <c r="AN311" s="328"/>
      <c r="AO311" s="328"/>
      <c r="AP311" s="328"/>
      <c r="AQ311" s="328"/>
      <c r="AR311" s="328"/>
      <c r="AS311" s="328"/>
      <c r="AT311" s="328"/>
      <c r="AU311" s="328"/>
      <c r="AV311" s="328"/>
      <c r="AW311" s="328"/>
      <c r="AX311" s="328"/>
      <c r="AY311" s="328"/>
      <c r="AZ311" s="328"/>
      <c r="BA311" s="328"/>
      <c r="BB311" s="328"/>
      <c r="BC311" s="328"/>
      <c r="BD311" s="328"/>
      <c r="BE311" s="329"/>
    </row>
    <row r="312" spans="1:57" s="330" customFormat="1" ht="12.75" customHeight="1" x14ac:dyDescent="0.2">
      <c r="A312" s="370"/>
      <c r="B312" s="656" t="s">
        <v>1055</v>
      </c>
      <c r="C312" s="371"/>
      <c r="D312" s="323" t="s">
        <v>513</v>
      </c>
      <c r="E312" s="332">
        <f>E314+E315+E316+E313</f>
        <v>0.67003000000000001</v>
      </c>
      <c r="F312" s="332">
        <f>F314+F315+F316+F313</f>
        <v>8.7029999999999996E-2</v>
      </c>
      <c r="G312" s="332">
        <f t="shared" ref="G312:K312" si="147">G314+G315+G316+G313</f>
        <v>3.3799999999999997E-2</v>
      </c>
      <c r="H312" s="332">
        <f t="shared" si="147"/>
        <v>0.54920000000000002</v>
      </c>
      <c r="I312" s="332">
        <f t="shared" si="147"/>
        <v>0</v>
      </c>
      <c r="J312" s="332">
        <f t="shared" si="147"/>
        <v>0</v>
      </c>
      <c r="K312" s="332">
        <f t="shared" si="147"/>
        <v>0</v>
      </c>
      <c r="L312" s="367"/>
      <c r="M312" s="326"/>
      <c r="N312" s="368"/>
      <c r="O312" s="369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  <c r="AA312" s="328"/>
      <c r="AB312" s="328"/>
      <c r="AC312" s="328"/>
      <c r="AD312" s="328"/>
      <c r="AE312" s="328"/>
      <c r="AF312" s="328"/>
      <c r="AG312" s="328"/>
      <c r="AH312" s="328"/>
      <c r="AI312" s="328"/>
      <c r="AJ312" s="328"/>
      <c r="AK312" s="328"/>
      <c r="AL312" s="328"/>
      <c r="AM312" s="328"/>
      <c r="AN312" s="328"/>
      <c r="AO312" s="328"/>
      <c r="AP312" s="328"/>
      <c r="AQ312" s="328"/>
      <c r="AR312" s="328"/>
      <c r="AS312" s="328"/>
      <c r="AT312" s="328"/>
      <c r="AU312" s="328"/>
      <c r="AV312" s="328"/>
      <c r="AW312" s="328"/>
      <c r="AX312" s="328"/>
      <c r="AY312" s="328"/>
      <c r="AZ312" s="328"/>
      <c r="BA312" s="328"/>
      <c r="BB312" s="328"/>
      <c r="BC312" s="328"/>
      <c r="BD312" s="328"/>
      <c r="BE312" s="329"/>
    </row>
    <row r="313" spans="1:57" s="330" customFormat="1" ht="12.75" customHeight="1" x14ac:dyDescent="0.2">
      <c r="A313" s="370"/>
      <c r="B313" s="657"/>
      <c r="C313" s="371"/>
      <c r="D313" s="331">
        <v>2019</v>
      </c>
      <c r="E313" s="332">
        <f>F313+G313+H313+I313+J313</f>
        <v>0.35553000000000001</v>
      </c>
      <c r="F313" s="332">
        <v>4.623E-2</v>
      </c>
      <c r="G313" s="332">
        <v>3.3799999999999997E-2</v>
      </c>
      <c r="H313" s="332">
        <v>0.27550000000000002</v>
      </c>
      <c r="I313" s="332">
        <v>0</v>
      </c>
      <c r="J313" s="332">
        <v>0</v>
      </c>
      <c r="K313" s="325"/>
      <c r="L313" s="367"/>
      <c r="M313" s="326"/>
      <c r="N313" s="368"/>
      <c r="O313" s="369"/>
      <c r="P313" s="328"/>
      <c r="Q313" s="328"/>
      <c r="R313" s="328"/>
      <c r="S313" s="328"/>
      <c r="T313" s="328"/>
      <c r="U313" s="328"/>
      <c r="V313" s="328"/>
      <c r="W313" s="328"/>
      <c r="X313" s="328"/>
      <c r="Y313" s="328"/>
      <c r="Z313" s="328"/>
      <c r="AA313" s="328"/>
      <c r="AB313" s="328"/>
      <c r="AC313" s="328"/>
      <c r="AD313" s="328"/>
      <c r="AE313" s="328"/>
      <c r="AF313" s="328"/>
      <c r="AG313" s="328"/>
      <c r="AH313" s="328"/>
      <c r="AI313" s="328"/>
      <c r="AJ313" s="328"/>
      <c r="AK313" s="328"/>
      <c r="AL313" s="328"/>
      <c r="AM313" s="328"/>
      <c r="AN313" s="328"/>
      <c r="AO313" s="328"/>
      <c r="AP313" s="328"/>
      <c r="AQ313" s="328"/>
      <c r="AR313" s="328"/>
      <c r="AS313" s="328"/>
      <c r="AT313" s="328"/>
      <c r="AU313" s="328"/>
      <c r="AV313" s="328"/>
      <c r="AW313" s="328"/>
      <c r="AX313" s="328"/>
      <c r="AY313" s="328"/>
      <c r="AZ313" s="328"/>
      <c r="BA313" s="328"/>
      <c r="BB313" s="328"/>
      <c r="BC313" s="328"/>
      <c r="BD313" s="328"/>
      <c r="BE313" s="329"/>
    </row>
    <row r="314" spans="1:57" s="330" customFormat="1" x14ac:dyDescent="0.2">
      <c r="A314" s="370"/>
      <c r="B314" s="657"/>
      <c r="C314" s="371"/>
      <c r="D314" s="331">
        <v>2020</v>
      </c>
      <c r="E314" s="332">
        <f t="shared" ref="E314:E316" si="148">F314+G314+H314+I314+J314</f>
        <v>7.8700000000000006E-2</v>
      </c>
      <c r="F314" s="332">
        <v>1.0200000000000001E-2</v>
      </c>
      <c r="G314" s="332">
        <v>0</v>
      </c>
      <c r="H314" s="332">
        <v>6.8500000000000005E-2</v>
      </c>
      <c r="I314" s="332">
        <v>0</v>
      </c>
      <c r="J314" s="332">
        <v>0</v>
      </c>
      <c r="K314" s="325"/>
      <c r="L314" s="367"/>
      <c r="M314" s="326"/>
      <c r="N314" s="368"/>
      <c r="O314" s="369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328"/>
      <c r="AI314" s="328"/>
      <c r="AJ314" s="328"/>
      <c r="AK314" s="328"/>
      <c r="AL314" s="328"/>
      <c r="AM314" s="328"/>
      <c r="AN314" s="328"/>
      <c r="AO314" s="328"/>
      <c r="AP314" s="328"/>
      <c r="AQ314" s="328"/>
      <c r="AR314" s="328"/>
      <c r="AS314" s="328"/>
      <c r="AT314" s="328"/>
      <c r="AU314" s="328"/>
      <c r="AV314" s="328"/>
      <c r="AW314" s="328"/>
      <c r="AX314" s="328"/>
      <c r="AY314" s="328"/>
      <c r="AZ314" s="328"/>
      <c r="BA314" s="328"/>
      <c r="BB314" s="328"/>
      <c r="BC314" s="328"/>
      <c r="BD314" s="328"/>
      <c r="BE314" s="329"/>
    </row>
    <row r="315" spans="1:57" s="330" customFormat="1" x14ac:dyDescent="0.2">
      <c r="A315" s="370"/>
      <c r="B315" s="657"/>
      <c r="C315" s="371"/>
      <c r="D315" s="331">
        <v>2021</v>
      </c>
      <c r="E315" s="332">
        <f>F315+G315+H315+I315+J315</f>
        <v>0.11789999999999999</v>
      </c>
      <c r="F315" s="332">
        <v>1.5299999999999999E-2</v>
      </c>
      <c r="G315" s="332">
        <v>0</v>
      </c>
      <c r="H315" s="332">
        <v>0.1026</v>
      </c>
      <c r="I315" s="332">
        <v>0</v>
      </c>
      <c r="J315" s="332">
        <v>0</v>
      </c>
      <c r="K315" s="325"/>
      <c r="L315" s="367"/>
      <c r="M315" s="326"/>
      <c r="N315" s="368"/>
      <c r="O315" s="369"/>
      <c r="P315" s="328"/>
      <c r="Q315" s="328"/>
      <c r="R315" s="328"/>
      <c r="S315" s="328"/>
      <c r="T315" s="328"/>
      <c r="U315" s="328"/>
      <c r="V315" s="328"/>
      <c r="W315" s="328"/>
      <c r="X315" s="328"/>
      <c r="Y315" s="328"/>
      <c r="Z315" s="328"/>
      <c r="AA315" s="328"/>
      <c r="AB315" s="328"/>
      <c r="AC315" s="328"/>
      <c r="AD315" s="328"/>
      <c r="AE315" s="328"/>
      <c r="AF315" s="328"/>
      <c r="AG315" s="328"/>
      <c r="AH315" s="328"/>
      <c r="AI315" s="328"/>
      <c r="AJ315" s="328"/>
      <c r="AK315" s="328"/>
      <c r="AL315" s="328"/>
      <c r="AM315" s="328"/>
      <c r="AN315" s="328"/>
      <c r="AO315" s="328"/>
      <c r="AP315" s="328"/>
      <c r="AQ315" s="328"/>
      <c r="AR315" s="328"/>
      <c r="AS315" s="328"/>
      <c r="AT315" s="328"/>
      <c r="AU315" s="328"/>
      <c r="AV315" s="328"/>
      <c r="AW315" s="328"/>
      <c r="AX315" s="328"/>
      <c r="AY315" s="328"/>
      <c r="AZ315" s="328"/>
      <c r="BA315" s="328"/>
      <c r="BB315" s="328"/>
      <c r="BC315" s="328"/>
      <c r="BD315" s="328"/>
      <c r="BE315" s="329"/>
    </row>
    <row r="316" spans="1:57" s="330" customFormat="1" x14ac:dyDescent="0.2">
      <c r="A316" s="370"/>
      <c r="B316" s="658"/>
      <c r="C316" s="371"/>
      <c r="D316" s="331">
        <v>2022</v>
      </c>
      <c r="E316" s="332">
        <f t="shared" si="148"/>
        <v>0.11789999999999999</v>
      </c>
      <c r="F316" s="332">
        <v>1.5299999999999999E-2</v>
      </c>
      <c r="G316" s="332">
        <v>0</v>
      </c>
      <c r="H316" s="332">
        <v>0.1026</v>
      </c>
      <c r="I316" s="332">
        <v>0</v>
      </c>
      <c r="J316" s="332">
        <v>0</v>
      </c>
      <c r="K316" s="325"/>
      <c r="L316" s="367"/>
      <c r="M316" s="326"/>
      <c r="N316" s="368"/>
      <c r="O316" s="369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  <c r="AA316" s="328"/>
      <c r="AB316" s="328"/>
      <c r="AC316" s="328"/>
      <c r="AD316" s="328"/>
      <c r="AE316" s="328"/>
      <c r="AF316" s="328"/>
      <c r="AG316" s="328"/>
      <c r="AH316" s="328"/>
      <c r="AI316" s="328"/>
      <c r="AJ316" s="328"/>
      <c r="AK316" s="328"/>
      <c r="AL316" s="328"/>
      <c r="AM316" s="328"/>
      <c r="AN316" s="328"/>
      <c r="AO316" s="328"/>
      <c r="AP316" s="328"/>
      <c r="AQ316" s="328"/>
      <c r="AR316" s="328"/>
      <c r="AS316" s="328"/>
      <c r="AT316" s="328"/>
      <c r="AU316" s="328"/>
      <c r="AV316" s="328"/>
      <c r="AW316" s="328"/>
      <c r="AX316" s="328"/>
      <c r="AY316" s="328"/>
      <c r="AZ316" s="328"/>
      <c r="BA316" s="328"/>
      <c r="BB316" s="328"/>
      <c r="BC316" s="328"/>
      <c r="BD316" s="328"/>
      <c r="BE316" s="329"/>
    </row>
    <row r="317" spans="1:57" s="48" customFormat="1" ht="12.75" customHeight="1" x14ac:dyDescent="0.2">
      <c r="A317" s="703" t="s">
        <v>660</v>
      </c>
      <c r="B317" s="705" t="s">
        <v>1060</v>
      </c>
      <c r="C317" s="631" t="s">
        <v>415</v>
      </c>
      <c r="D317" s="46" t="s">
        <v>198</v>
      </c>
      <c r="E317" s="47">
        <f>E318+E319+E320+E321+E322+E323+E324+E325+E326+E327+E328</f>
        <v>2.0853700000000002</v>
      </c>
      <c r="F317" s="47">
        <f>F318+F319+F320+F321+F322+F323+F324+F325+F326+F327+F328</f>
        <v>0.86257000000000006</v>
      </c>
      <c r="G317" s="47">
        <f t="shared" ref="G317:J317" si="149">G318+G319+G320+G321+G322+G323+G324+G325+G326+G327+G328</f>
        <v>0</v>
      </c>
      <c r="H317" s="47">
        <f>H318+H319+H320+H321+H322+H323+H324+H325+H326+H327+H328</f>
        <v>1.2228000000000001</v>
      </c>
      <c r="I317" s="47">
        <f t="shared" si="149"/>
        <v>0</v>
      </c>
      <c r="J317" s="47">
        <f t="shared" si="149"/>
        <v>0</v>
      </c>
      <c r="K317" s="261">
        <f t="shared" si="124"/>
        <v>2.0853700000000002</v>
      </c>
      <c r="L317" s="52"/>
      <c r="M317" s="50"/>
      <c r="N317" s="56"/>
      <c r="O317" s="631" t="s">
        <v>230</v>
      </c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6"/>
    </row>
    <row r="318" spans="1:57" s="131" customFormat="1" ht="12.75" customHeight="1" x14ac:dyDescent="0.2">
      <c r="A318" s="704"/>
      <c r="B318" s="706"/>
      <c r="C318" s="701"/>
      <c r="D318" s="132">
        <v>2020</v>
      </c>
      <c r="E318" s="133">
        <f>F318+G318+H318+I318+J318</f>
        <v>1.2362</v>
      </c>
      <c r="F318" s="133">
        <v>0.21859999999999999</v>
      </c>
      <c r="G318" s="133">
        <v>0</v>
      </c>
      <c r="H318" s="133">
        <v>1.0176000000000001</v>
      </c>
      <c r="I318" s="133">
        <v>0</v>
      </c>
      <c r="J318" s="133">
        <v>0</v>
      </c>
      <c r="K318" s="136">
        <f t="shared" si="124"/>
        <v>1.2362</v>
      </c>
      <c r="L318" s="136"/>
      <c r="M318" s="127"/>
      <c r="N318" s="408"/>
      <c r="O318" s="701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30"/>
    </row>
    <row r="319" spans="1:57" s="131" customFormat="1" ht="12.75" customHeight="1" x14ac:dyDescent="0.2">
      <c r="A319" s="704"/>
      <c r="B319" s="706"/>
      <c r="C319" s="678" t="s">
        <v>890</v>
      </c>
      <c r="D319" s="132">
        <v>2021</v>
      </c>
      <c r="E319" s="133">
        <f>F319+G319+H319+I319+J319</f>
        <v>0.33240000000000003</v>
      </c>
      <c r="F319" s="133">
        <v>0.2298</v>
      </c>
      <c r="G319" s="133">
        <v>0</v>
      </c>
      <c r="H319" s="133">
        <v>0.1026</v>
      </c>
      <c r="I319" s="133">
        <v>0</v>
      </c>
      <c r="J319" s="133">
        <v>0</v>
      </c>
      <c r="K319" s="136">
        <f t="shared" si="124"/>
        <v>0.33240000000000003</v>
      </c>
      <c r="L319" s="136"/>
      <c r="M319" s="127"/>
      <c r="N319" s="408"/>
      <c r="O319" s="701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  <c r="BE319" s="130"/>
    </row>
    <row r="320" spans="1:57" s="131" customFormat="1" ht="12.75" customHeight="1" x14ac:dyDescent="0.2">
      <c r="A320" s="704"/>
      <c r="B320" s="706"/>
      <c r="C320" s="678"/>
      <c r="D320" s="132">
        <v>2022</v>
      </c>
      <c r="E320" s="133">
        <f>F320+G320+H320+I320+J320</f>
        <v>0.33909999999999996</v>
      </c>
      <c r="F320" s="133">
        <v>0.23649999999999999</v>
      </c>
      <c r="G320" s="133">
        <f>G318</f>
        <v>0</v>
      </c>
      <c r="H320" s="133">
        <v>0.1026</v>
      </c>
      <c r="I320" s="126">
        <f>I318</f>
        <v>0</v>
      </c>
      <c r="J320" s="126">
        <f>J318</f>
        <v>0</v>
      </c>
      <c r="K320" s="136">
        <f t="shared" si="124"/>
        <v>0.33909999999999996</v>
      </c>
      <c r="L320" s="136"/>
      <c r="M320" s="127"/>
      <c r="N320" s="408"/>
      <c r="O320" s="701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30"/>
    </row>
    <row r="321" spans="1:57" s="48" customFormat="1" ht="12.75" customHeight="1" x14ac:dyDescent="0.2">
      <c r="A321" s="704"/>
      <c r="B321" s="706"/>
      <c r="C321" s="678"/>
      <c r="D321" s="189">
        <v>2023</v>
      </c>
      <c r="E321" s="188">
        <f t="shared" ref="E321:E330" si="150">F321+G321+H321+I321+J321</f>
        <v>2.0580000000000001E-2</v>
      </c>
      <c r="F321" s="188">
        <v>2.0580000000000001E-2</v>
      </c>
      <c r="G321" s="188">
        <v>0</v>
      </c>
      <c r="H321" s="188">
        <v>0</v>
      </c>
      <c r="I321" s="188">
        <v>0</v>
      </c>
      <c r="J321" s="188">
        <v>0</v>
      </c>
      <c r="K321" s="261">
        <f t="shared" si="124"/>
        <v>2.0580000000000001E-2</v>
      </c>
      <c r="L321" s="217"/>
      <c r="M321" s="50"/>
      <c r="N321" s="57"/>
      <c r="O321" s="701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6"/>
    </row>
    <row r="322" spans="1:57" s="48" customFormat="1" ht="12.75" customHeight="1" x14ac:dyDescent="0.2">
      <c r="A322" s="704"/>
      <c r="B322" s="706"/>
      <c r="C322" s="678"/>
      <c r="D322" s="189">
        <v>2024</v>
      </c>
      <c r="E322" s="188">
        <f t="shared" si="150"/>
        <v>2.0580000000000001E-2</v>
      </c>
      <c r="F322" s="188">
        <v>2.0580000000000001E-2</v>
      </c>
      <c r="G322" s="188">
        <v>0</v>
      </c>
      <c r="H322" s="188">
        <v>0</v>
      </c>
      <c r="I322" s="188">
        <v>0</v>
      </c>
      <c r="J322" s="188">
        <v>0</v>
      </c>
      <c r="K322" s="261">
        <f t="shared" si="124"/>
        <v>2.0580000000000001E-2</v>
      </c>
      <c r="L322" s="217"/>
      <c r="M322" s="50"/>
      <c r="N322" s="57"/>
      <c r="O322" s="701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6"/>
    </row>
    <row r="323" spans="1:57" s="48" customFormat="1" ht="12.75" customHeight="1" x14ac:dyDescent="0.2">
      <c r="A323" s="704"/>
      <c r="B323" s="706"/>
      <c r="C323" s="678"/>
      <c r="D323" s="189">
        <v>2025</v>
      </c>
      <c r="E323" s="188">
        <f t="shared" si="150"/>
        <v>2.0580000000000001E-2</v>
      </c>
      <c r="F323" s="188">
        <v>2.0580000000000001E-2</v>
      </c>
      <c r="G323" s="188">
        <v>0</v>
      </c>
      <c r="H323" s="188">
        <v>0</v>
      </c>
      <c r="I323" s="188">
        <v>0</v>
      </c>
      <c r="J323" s="188">
        <v>0</v>
      </c>
      <c r="K323" s="261">
        <f t="shared" si="124"/>
        <v>2.0580000000000001E-2</v>
      </c>
      <c r="L323" s="217"/>
      <c r="M323" s="50"/>
      <c r="N323" s="57"/>
      <c r="O323" s="701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6"/>
    </row>
    <row r="324" spans="1:57" s="48" customFormat="1" ht="18.75" customHeight="1" x14ac:dyDescent="0.2">
      <c r="A324" s="704"/>
      <c r="B324" s="706"/>
      <c r="C324" s="678" t="s">
        <v>728</v>
      </c>
      <c r="D324" s="189">
        <v>2026</v>
      </c>
      <c r="E324" s="188">
        <f t="shared" si="150"/>
        <v>2.1399999999999999E-2</v>
      </c>
      <c r="F324" s="188">
        <v>2.1399999999999999E-2</v>
      </c>
      <c r="G324" s="188">
        <v>0</v>
      </c>
      <c r="H324" s="188">
        <v>0</v>
      </c>
      <c r="I324" s="188">
        <v>0</v>
      </c>
      <c r="J324" s="188">
        <v>0</v>
      </c>
      <c r="K324" s="261">
        <f t="shared" si="124"/>
        <v>2.1399999999999999E-2</v>
      </c>
      <c r="L324" s="217"/>
      <c r="M324" s="50"/>
      <c r="N324" s="57"/>
      <c r="O324" s="701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6"/>
    </row>
    <row r="325" spans="1:57" s="48" customFormat="1" ht="12.75" customHeight="1" x14ac:dyDescent="0.2">
      <c r="A325" s="704"/>
      <c r="B325" s="706"/>
      <c r="C325" s="678"/>
      <c r="D325" s="189">
        <v>2027</v>
      </c>
      <c r="E325" s="188">
        <f t="shared" si="150"/>
        <v>2.2259999999999999E-2</v>
      </c>
      <c r="F325" s="188">
        <v>2.2259999999999999E-2</v>
      </c>
      <c r="G325" s="188">
        <v>0</v>
      </c>
      <c r="H325" s="188">
        <v>0</v>
      </c>
      <c r="I325" s="188">
        <v>0</v>
      </c>
      <c r="J325" s="188">
        <v>0</v>
      </c>
      <c r="K325" s="261">
        <f t="shared" si="124"/>
        <v>2.2259999999999999E-2</v>
      </c>
      <c r="L325" s="217"/>
      <c r="M325" s="50"/>
      <c r="N325" s="57"/>
      <c r="O325" s="701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6"/>
    </row>
    <row r="326" spans="1:57" s="48" customFormat="1" ht="12.75" customHeight="1" x14ac:dyDescent="0.2">
      <c r="A326" s="704"/>
      <c r="B326" s="735"/>
      <c r="C326" s="678"/>
      <c r="D326" s="189">
        <v>2028</v>
      </c>
      <c r="E326" s="188">
        <f t="shared" si="150"/>
        <v>2.315E-2</v>
      </c>
      <c r="F326" s="188">
        <v>2.315E-2</v>
      </c>
      <c r="G326" s="188">
        <v>0</v>
      </c>
      <c r="H326" s="188">
        <v>0</v>
      </c>
      <c r="I326" s="188">
        <v>0</v>
      </c>
      <c r="J326" s="188">
        <v>0</v>
      </c>
      <c r="K326" s="261">
        <f t="shared" si="124"/>
        <v>2.315E-2</v>
      </c>
      <c r="L326" s="217"/>
      <c r="M326" s="50"/>
      <c r="N326" s="57"/>
      <c r="O326" s="701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6"/>
    </row>
    <row r="327" spans="1:57" s="48" customFormat="1" x14ac:dyDescent="0.2">
      <c r="A327" s="704"/>
      <c r="B327" s="735"/>
      <c r="C327" s="678"/>
      <c r="D327" s="189">
        <v>2029</v>
      </c>
      <c r="E327" s="188">
        <f t="shared" si="150"/>
        <v>2.4080000000000001E-2</v>
      </c>
      <c r="F327" s="188">
        <v>2.4080000000000001E-2</v>
      </c>
      <c r="G327" s="188">
        <v>0</v>
      </c>
      <c r="H327" s="188">
        <v>0</v>
      </c>
      <c r="I327" s="188">
        <v>0</v>
      </c>
      <c r="J327" s="188">
        <v>0</v>
      </c>
      <c r="K327" s="261">
        <f t="shared" si="124"/>
        <v>2.4080000000000001E-2</v>
      </c>
      <c r="L327" s="217"/>
      <c r="M327" s="50"/>
      <c r="N327" s="57"/>
      <c r="O327" s="701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6"/>
    </row>
    <row r="328" spans="1:57" s="48" customFormat="1" x14ac:dyDescent="0.2">
      <c r="A328" s="871"/>
      <c r="B328" s="770"/>
      <c r="C328" s="678"/>
      <c r="D328" s="189">
        <v>2030</v>
      </c>
      <c r="E328" s="188">
        <f t="shared" si="150"/>
        <v>2.504E-2</v>
      </c>
      <c r="F328" s="188">
        <v>2.504E-2</v>
      </c>
      <c r="G328" s="188">
        <v>0</v>
      </c>
      <c r="H328" s="188">
        <v>0</v>
      </c>
      <c r="I328" s="188">
        <v>0</v>
      </c>
      <c r="J328" s="188">
        <v>0</v>
      </c>
      <c r="K328" s="261">
        <f t="shared" si="124"/>
        <v>2.504E-2</v>
      </c>
      <c r="L328" s="217"/>
      <c r="M328" s="50"/>
      <c r="N328" s="57"/>
      <c r="O328" s="702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6"/>
    </row>
    <row r="329" spans="1:57" s="330" customFormat="1" x14ac:dyDescent="0.2">
      <c r="A329" s="362"/>
      <c r="B329" s="363"/>
      <c r="C329" s="364"/>
      <c r="D329" s="323" t="s">
        <v>513</v>
      </c>
      <c r="E329" s="303">
        <f>E330</f>
        <v>7.3220000000000001</v>
      </c>
      <c r="F329" s="303">
        <f t="shared" ref="F329:J329" si="151">F330</f>
        <v>0.95199999999999996</v>
      </c>
      <c r="G329" s="303">
        <f t="shared" si="151"/>
        <v>0</v>
      </c>
      <c r="H329" s="303">
        <f t="shared" si="151"/>
        <v>6.37</v>
      </c>
      <c r="I329" s="303">
        <f t="shared" si="151"/>
        <v>0</v>
      </c>
      <c r="J329" s="303">
        <f t="shared" si="151"/>
        <v>0</v>
      </c>
      <c r="K329" s="325"/>
      <c r="L329" s="365"/>
      <c r="M329" s="326"/>
      <c r="N329" s="366"/>
      <c r="O329" s="359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8"/>
      <c r="AA329" s="328"/>
      <c r="AB329" s="328"/>
      <c r="AC329" s="328"/>
      <c r="AD329" s="328"/>
      <c r="AE329" s="328"/>
      <c r="AF329" s="328"/>
      <c r="AG329" s="328"/>
      <c r="AH329" s="328"/>
      <c r="AI329" s="328"/>
      <c r="AJ329" s="328"/>
      <c r="AK329" s="328"/>
      <c r="AL329" s="328"/>
      <c r="AM329" s="328"/>
      <c r="AN329" s="328"/>
      <c r="AO329" s="328"/>
      <c r="AP329" s="328"/>
      <c r="AQ329" s="328"/>
      <c r="AR329" s="328"/>
      <c r="AS329" s="328"/>
      <c r="AT329" s="328"/>
      <c r="AU329" s="328"/>
      <c r="AV329" s="328"/>
      <c r="AW329" s="328"/>
      <c r="AX329" s="328"/>
      <c r="AY329" s="328"/>
      <c r="AZ329" s="328"/>
      <c r="BA329" s="328"/>
      <c r="BB329" s="328"/>
      <c r="BC329" s="328"/>
      <c r="BD329" s="328"/>
      <c r="BE329" s="329"/>
    </row>
    <row r="330" spans="1:57" s="330" customFormat="1" ht="25.5" x14ac:dyDescent="0.2">
      <c r="A330" s="362"/>
      <c r="B330" s="364" t="s">
        <v>1053</v>
      </c>
      <c r="C330" s="364"/>
      <c r="D330" s="331">
        <v>2021</v>
      </c>
      <c r="E330" s="303">
        <f t="shared" si="150"/>
        <v>7.3220000000000001</v>
      </c>
      <c r="F330" s="332">
        <v>0.95199999999999996</v>
      </c>
      <c r="G330" s="332">
        <v>0</v>
      </c>
      <c r="H330" s="332">
        <v>6.37</v>
      </c>
      <c r="I330" s="332">
        <v>0</v>
      </c>
      <c r="J330" s="332">
        <v>0</v>
      </c>
      <c r="K330" s="325"/>
      <c r="L330" s="365"/>
      <c r="M330" s="326"/>
      <c r="N330" s="366"/>
      <c r="O330" s="359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8"/>
      <c r="AA330" s="328"/>
      <c r="AB330" s="328"/>
      <c r="AC330" s="328"/>
      <c r="AD330" s="328"/>
      <c r="AE330" s="328"/>
      <c r="AF330" s="328"/>
      <c r="AG330" s="328"/>
      <c r="AH330" s="328"/>
      <c r="AI330" s="328"/>
      <c r="AJ330" s="328"/>
      <c r="AK330" s="328"/>
      <c r="AL330" s="328"/>
      <c r="AM330" s="328"/>
      <c r="AN330" s="328"/>
      <c r="AO330" s="328"/>
      <c r="AP330" s="328"/>
      <c r="AQ330" s="328"/>
      <c r="AR330" s="328"/>
      <c r="AS330" s="328"/>
      <c r="AT330" s="328"/>
      <c r="AU330" s="328"/>
      <c r="AV330" s="328"/>
      <c r="AW330" s="328"/>
      <c r="AX330" s="328"/>
      <c r="AY330" s="328"/>
      <c r="AZ330" s="328"/>
      <c r="BA330" s="328"/>
      <c r="BB330" s="328"/>
      <c r="BC330" s="328"/>
      <c r="BD330" s="328"/>
      <c r="BE330" s="329"/>
    </row>
    <row r="331" spans="1:57" s="48" customFormat="1" x14ac:dyDescent="0.2">
      <c r="A331" s="697" t="s">
        <v>661</v>
      </c>
      <c r="B331" s="631" t="s">
        <v>424</v>
      </c>
      <c r="C331" s="631" t="s">
        <v>405</v>
      </c>
      <c r="D331" s="46" t="s">
        <v>198</v>
      </c>
      <c r="E331" s="47">
        <f t="shared" ref="E331:J331" si="152">E332</f>
        <v>16.8</v>
      </c>
      <c r="F331" s="47">
        <f t="shared" si="152"/>
        <v>0</v>
      </c>
      <c r="G331" s="47">
        <f t="shared" si="152"/>
        <v>0</v>
      </c>
      <c r="H331" s="47">
        <f t="shared" si="152"/>
        <v>15.96</v>
      </c>
      <c r="I331" s="47">
        <f t="shared" si="152"/>
        <v>0</v>
      </c>
      <c r="J331" s="47">
        <f t="shared" si="152"/>
        <v>0.84</v>
      </c>
      <c r="K331" s="261">
        <f t="shared" si="124"/>
        <v>16.8</v>
      </c>
      <c r="L331" s="870"/>
      <c r="M331" s="50"/>
      <c r="N331" s="850">
        <v>1</v>
      </c>
      <c r="O331" s="746" t="s">
        <v>236</v>
      </c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6"/>
    </row>
    <row r="332" spans="1:57" s="48" customFormat="1" ht="21.75" customHeight="1" x14ac:dyDescent="0.2">
      <c r="A332" s="734"/>
      <c r="B332" s="702"/>
      <c r="C332" s="702"/>
      <c r="D332" s="46">
        <v>2023</v>
      </c>
      <c r="E332" s="188">
        <f>F332+G332+H332+I332+J332</f>
        <v>16.8</v>
      </c>
      <c r="F332" s="188">
        <v>0</v>
      </c>
      <c r="G332" s="188">
        <v>0</v>
      </c>
      <c r="H332" s="188">
        <v>15.96</v>
      </c>
      <c r="I332" s="188">
        <v>0</v>
      </c>
      <c r="J332" s="188">
        <v>0.84</v>
      </c>
      <c r="K332" s="261">
        <f t="shared" si="124"/>
        <v>16.8</v>
      </c>
      <c r="L332" s="870"/>
      <c r="M332" s="50"/>
      <c r="N332" s="637"/>
      <c r="O332" s="726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6"/>
    </row>
    <row r="333" spans="1:57" s="48" customFormat="1" x14ac:dyDescent="0.2">
      <c r="A333" s="697" t="s">
        <v>662</v>
      </c>
      <c r="B333" s="631" t="s">
        <v>423</v>
      </c>
      <c r="C333" s="631" t="s">
        <v>405</v>
      </c>
      <c r="D333" s="46" t="s">
        <v>198</v>
      </c>
      <c r="E333" s="47">
        <f>E334+E335</f>
        <v>16.8</v>
      </c>
      <c r="F333" s="47">
        <f t="shared" ref="F333:J333" si="153">F334+F335</f>
        <v>0</v>
      </c>
      <c r="G333" s="47">
        <f t="shared" si="153"/>
        <v>0</v>
      </c>
      <c r="H333" s="47">
        <f t="shared" si="153"/>
        <v>15.96</v>
      </c>
      <c r="I333" s="47">
        <f t="shared" si="153"/>
        <v>0</v>
      </c>
      <c r="J333" s="47">
        <f t="shared" si="153"/>
        <v>0.84</v>
      </c>
      <c r="K333" s="261">
        <f t="shared" ref="K333:K396" si="154">F333+G333+H333+I333+J333</f>
        <v>16.8</v>
      </c>
      <c r="L333" s="812"/>
      <c r="M333" s="50"/>
      <c r="N333" s="99"/>
      <c r="O333" s="862" t="s">
        <v>232</v>
      </c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6"/>
    </row>
    <row r="334" spans="1:57" s="48" customFormat="1" x14ac:dyDescent="0.2">
      <c r="A334" s="698"/>
      <c r="B334" s="648"/>
      <c r="C334" s="701"/>
      <c r="D334" s="189">
        <v>2021</v>
      </c>
      <c r="E334" s="188">
        <f>F334+G334+H334+I334+J334</f>
        <v>8.4</v>
      </c>
      <c r="F334" s="188">
        <v>0</v>
      </c>
      <c r="G334" s="188">
        <v>0</v>
      </c>
      <c r="H334" s="188">
        <v>7.98</v>
      </c>
      <c r="I334" s="188">
        <v>0</v>
      </c>
      <c r="J334" s="188">
        <v>0.42</v>
      </c>
      <c r="K334" s="261">
        <f t="shared" si="154"/>
        <v>8.4</v>
      </c>
      <c r="L334" s="861"/>
      <c r="M334" s="50"/>
      <c r="N334" s="99"/>
      <c r="O334" s="863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6"/>
    </row>
    <row r="335" spans="1:57" s="48" customFormat="1" x14ac:dyDescent="0.2">
      <c r="A335" s="734"/>
      <c r="B335" s="702"/>
      <c r="C335" s="702"/>
      <c r="D335" s="189">
        <v>2022</v>
      </c>
      <c r="E335" s="188">
        <f>F335+G335+H335+I335+J335</f>
        <v>8.4</v>
      </c>
      <c r="F335" s="188">
        <v>0</v>
      </c>
      <c r="G335" s="188">
        <v>0</v>
      </c>
      <c r="H335" s="188">
        <v>7.98</v>
      </c>
      <c r="I335" s="188">
        <v>0</v>
      </c>
      <c r="J335" s="188">
        <v>0.42</v>
      </c>
      <c r="K335" s="261">
        <f t="shared" si="154"/>
        <v>8.4</v>
      </c>
      <c r="L335" s="848"/>
      <c r="M335" s="50"/>
      <c r="N335" s="99"/>
      <c r="O335" s="726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6"/>
    </row>
    <row r="336" spans="1:57" s="48" customFormat="1" ht="24.75" customHeight="1" x14ac:dyDescent="0.2">
      <c r="A336" s="864" t="s">
        <v>663</v>
      </c>
      <c r="B336" s="867" t="s">
        <v>1042</v>
      </c>
      <c r="C336" s="219" t="s">
        <v>415</v>
      </c>
      <c r="D336" s="46" t="s">
        <v>198</v>
      </c>
      <c r="E336" s="47">
        <f>E337+E338+E339</f>
        <v>0</v>
      </c>
      <c r="F336" s="47">
        <f t="shared" ref="F336:J336" si="155">F337+F338+F339</f>
        <v>0</v>
      </c>
      <c r="G336" s="47">
        <f t="shared" si="155"/>
        <v>0</v>
      </c>
      <c r="H336" s="47">
        <f t="shared" si="155"/>
        <v>0</v>
      </c>
      <c r="I336" s="47">
        <f t="shared" si="155"/>
        <v>0</v>
      </c>
      <c r="J336" s="47">
        <f t="shared" si="155"/>
        <v>0</v>
      </c>
      <c r="K336" s="261">
        <f t="shared" si="154"/>
        <v>0</v>
      </c>
      <c r="L336" s="160" t="s">
        <v>838</v>
      </c>
      <c r="M336" s="50"/>
      <c r="N336" s="51"/>
      <c r="O336" s="705" t="s">
        <v>599</v>
      </c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6"/>
    </row>
    <row r="337" spans="1:57" s="48" customFormat="1" ht="18" customHeight="1" x14ac:dyDescent="0.2">
      <c r="A337" s="865"/>
      <c r="B337" s="868"/>
      <c r="C337" s="631" t="s">
        <v>890</v>
      </c>
      <c r="D337" s="189">
        <v>2020</v>
      </c>
      <c r="E337" s="188">
        <f>F337+G337+H337+I337+J337</f>
        <v>0</v>
      </c>
      <c r="F337" s="188">
        <v>0</v>
      </c>
      <c r="G337" s="188">
        <v>0</v>
      </c>
      <c r="H337" s="188">
        <v>0</v>
      </c>
      <c r="I337" s="188">
        <v>0</v>
      </c>
      <c r="J337" s="188">
        <v>0</v>
      </c>
      <c r="K337" s="261">
        <f t="shared" si="154"/>
        <v>0</v>
      </c>
      <c r="L337" s="167"/>
      <c r="M337" s="50"/>
      <c r="N337" s="63"/>
      <c r="O337" s="73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6"/>
    </row>
    <row r="338" spans="1:57" s="48" customFormat="1" x14ac:dyDescent="0.2">
      <c r="A338" s="865"/>
      <c r="B338" s="868"/>
      <c r="C338" s="648"/>
      <c r="D338" s="189">
        <v>2021</v>
      </c>
      <c r="E338" s="188">
        <f t="shared" ref="E338:E339" si="156">F338+G338+H338+I338+J338</f>
        <v>0</v>
      </c>
      <c r="F338" s="188">
        <v>0</v>
      </c>
      <c r="G338" s="188">
        <v>0</v>
      </c>
      <c r="H338" s="188">
        <v>0</v>
      </c>
      <c r="I338" s="188">
        <v>0</v>
      </c>
      <c r="J338" s="188">
        <v>0</v>
      </c>
      <c r="K338" s="261">
        <f t="shared" si="154"/>
        <v>0</v>
      </c>
      <c r="L338" s="167"/>
      <c r="M338" s="50"/>
      <c r="N338" s="63"/>
      <c r="O338" s="73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6"/>
    </row>
    <row r="339" spans="1:57" s="48" customFormat="1" x14ac:dyDescent="0.2">
      <c r="A339" s="866"/>
      <c r="B339" s="869"/>
      <c r="C339" s="632"/>
      <c r="D339" s="189">
        <v>2022</v>
      </c>
      <c r="E339" s="188">
        <f t="shared" si="156"/>
        <v>0</v>
      </c>
      <c r="F339" s="188">
        <v>0</v>
      </c>
      <c r="G339" s="188">
        <v>0</v>
      </c>
      <c r="H339" s="188">
        <v>0</v>
      </c>
      <c r="I339" s="188">
        <v>0</v>
      </c>
      <c r="J339" s="188">
        <v>0</v>
      </c>
      <c r="K339" s="261">
        <f t="shared" si="154"/>
        <v>0</v>
      </c>
      <c r="L339" s="167"/>
      <c r="M339" s="50"/>
      <c r="N339" s="63"/>
      <c r="O339" s="73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6"/>
    </row>
    <row r="340" spans="1:57" s="330" customFormat="1" ht="12.75" customHeight="1" x14ac:dyDescent="0.2">
      <c r="A340" s="855" t="s">
        <v>664</v>
      </c>
      <c r="B340" s="837" t="s">
        <v>1094</v>
      </c>
      <c r="C340" s="444"/>
      <c r="D340" s="445" t="s">
        <v>198</v>
      </c>
      <c r="E340" s="324">
        <f>E341</f>
        <v>1.252</v>
      </c>
      <c r="F340" s="324">
        <f t="shared" ref="F340:J340" si="157">F341</f>
        <v>1.252</v>
      </c>
      <c r="G340" s="324">
        <f t="shared" si="157"/>
        <v>0</v>
      </c>
      <c r="H340" s="324">
        <f t="shared" si="157"/>
        <v>0</v>
      </c>
      <c r="I340" s="324">
        <f t="shared" si="157"/>
        <v>0</v>
      </c>
      <c r="J340" s="324">
        <f t="shared" si="157"/>
        <v>0</v>
      </c>
      <c r="K340" s="325">
        <f t="shared" si="154"/>
        <v>1.252</v>
      </c>
      <c r="L340" s="857" t="s">
        <v>592</v>
      </c>
      <c r="M340" s="326"/>
      <c r="N340" s="859">
        <v>6</v>
      </c>
      <c r="O340" s="735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8"/>
      <c r="AA340" s="328"/>
      <c r="AB340" s="328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8"/>
      <c r="BA340" s="328"/>
      <c r="BB340" s="328"/>
      <c r="BC340" s="328"/>
      <c r="BD340" s="328"/>
      <c r="BE340" s="329"/>
    </row>
    <row r="341" spans="1:57" s="330" customFormat="1" ht="19.5" customHeight="1" x14ac:dyDescent="0.2">
      <c r="A341" s="856"/>
      <c r="B341" s="838"/>
      <c r="C341" s="444"/>
      <c r="D341" s="331">
        <v>2019</v>
      </c>
      <c r="E341" s="332">
        <f>F341+G341+H341+I341+J341</f>
        <v>1.252</v>
      </c>
      <c r="F341" s="332">
        <v>1.252</v>
      </c>
      <c r="G341" s="332">
        <v>0</v>
      </c>
      <c r="H341" s="332">
        <v>0</v>
      </c>
      <c r="I341" s="332">
        <v>0</v>
      </c>
      <c r="J341" s="332">
        <v>0</v>
      </c>
      <c r="K341" s="325">
        <f t="shared" si="154"/>
        <v>1.252</v>
      </c>
      <c r="L341" s="858"/>
      <c r="M341" s="326"/>
      <c r="N341" s="860"/>
      <c r="O341" s="735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8"/>
      <c r="AA341" s="328"/>
      <c r="AB341" s="328"/>
      <c r="AC341" s="328"/>
      <c r="AD341" s="328"/>
      <c r="AE341" s="328"/>
      <c r="AF341" s="328"/>
      <c r="AG341" s="328"/>
      <c r="AH341" s="328"/>
      <c r="AI341" s="328"/>
      <c r="AJ341" s="328"/>
      <c r="AK341" s="328"/>
      <c r="AL341" s="328"/>
      <c r="AM341" s="328"/>
      <c r="AN341" s="328"/>
      <c r="AO341" s="328"/>
      <c r="AP341" s="328"/>
      <c r="AQ341" s="328"/>
      <c r="AR341" s="328"/>
      <c r="AS341" s="328"/>
      <c r="AT341" s="328"/>
      <c r="AU341" s="328"/>
      <c r="AV341" s="328"/>
      <c r="AW341" s="328"/>
      <c r="AX341" s="328"/>
      <c r="AY341" s="328"/>
      <c r="AZ341" s="328"/>
      <c r="BA341" s="328"/>
      <c r="BB341" s="328"/>
      <c r="BC341" s="328"/>
      <c r="BD341" s="328"/>
      <c r="BE341" s="329"/>
    </row>
    <row r="342" spans="1:57" s="48" customFormat="1" x14ac:dyDescent="0.2">
      <c r="A342" s="697" t="s">
        <v>665</v>
      </c>
      <c r="B342" s="631" t="s">
        <v>546</v>
      </c>
      <c r="C342" s="631" t="s">
        <v>728</v>
      </c>
      <c r="D342" s="46" t="s">
        <v>198</v>
      </c>
      <c r="E342" s="96">
        <f>E344+E345+E343</f>
        <v>250</v>
      </c>
      <c r="F342" s="96">
        <f t="shared" ref="F342:J342" si="158">F344+F345+F343</f>
        <v>250</v>
      </c>
      <c r="G342" s="96">
        <f t="shared" si="158"/>
        <v>0</v>
      </c>
      <c r="H342" s="96">
        <f t="shared" si="158"/>
        <v>0</v>
      </c>
      <c r="I342" s="96">
        <f t="shared" si="158"/>
        <v>0</v>
      </c>
      <c r="J342" s="96">
        <f t="shared" si="158"/>
        <v>0</v>
      </c>
      <c r="K342" s="261">
        <f t="shared" si="154"/>
        <v>250</v>
      </c>
      <c r="L342" s="58"/>
      <c r="M342" s="50"/>
      <c r="N342" s="51"/>
      <c r="O342" s="73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6"/>
    </row>
    <row r="343" spans="1:57" s="48" customFormat="1" x14ac:dyDescent="0.2">
      <c r="A343" s="698"/>
      <c r="B343" s="648"/>
      <c r="C343" s="648"/>
      <c r="D343" s="142">
        <v>2028</v>
      </c>
      <c r="E343" s="146">
        <f>F343+G343+H343+I343+J343</f>
        <v>24</v>
      </c>
      <c r="F343" s="146">
        <v>24</v>
      </c>
      <c r="G343" s="146">
        <v>0</v>
      </c>
      <c r="H343" s="146">
        <v>0</v>
      </c>
      <c r="I343" s="146">
        <v>0</v>
      </c>
      <c r="J343" s="146">
        <v>0</v>
      </c>
      <c r="K343" s="261">
        <f t="shared" si="154"/>
        <v>24</v>
      </c>
      <c r="L343" s="58"/>
      <c r="M343" s="50"/>
      <c r="N343" s="51"/>
      <c r="O343" s="73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6"/>
    </row>
    <row r="344" spans="1:57" s="48" customFormat="1" x14ac:dyDescent="0.2">
      <c r="A344" s="698"/>
      <c r="B344" s="648"/>
      <c r="C344" s="701"/>
      <c r="D344" s="142">
        <v>2029</v>
      </c>
      <c r="E344" s="146">
        <f>F344+G344+H344+I344+J344</f>
        <v>110</v>
      </c>
      <c r="F344" s="146">
        <v>110</v>
      </c>
      <c r="G344" s="146">
        <v>0</v>
      </c>
      <c r="H344" s="146">
        <v>0</v>
      </c>
      <c r="I344" s="146">
        <v>0</v>
      </c>
      <c r="J344" s="146">
        <v>0</v>
      </c>
      <c r="K344" s="261">
        <f t="shared" si="154"/>
        <v>110</v>
      </c>
      <c r="L344" s="58"/>
      <c r="M344" s="50"/>
      <c r="N344" s="51"/>
      <c r="O344" s="73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6"/>
    </row>
    <row r="345" spans="1:57" s="48" customFormat="1" x14ac:dyDescent="0.2">
      <c r="A345" s="699"/>
      <c r="B345" s="648"/>
      <c r="C345" s="702"/>
      <c r="D345" s="142">
        <v>2030</v>
      </c>
      <c r="E345" s="146">
        <f>F345</f>
        <v>116</v>
      </c>
      <c r="F345" s="146">
        <v>116</v>
      </c>
      <c r="G345" s="188">
        <v>0</v>
      </c>
      <c r="H345" s="188">
        <v>0</v>
      </c>
      <c r="I345" s="188">
        <v>0</v>
      </c>
      <c r="J345" s="188">
        <v>0</v>
      </c>
      <c r="K345" s="261">
        <f t="shared" si="154"/>
        <v>116</v>
      </c>
      <c r="L345" s="58" t="s">
        <v>552</v>
      </c>
      <c r="M345" s="50"/>
      <c r="N345" s="51"/>
      <c r="O345" s="770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6"/>
    </row>
    <row r="346" spans="1:57" s="48" customFormat="1" ht="20.25" customHeight="1" x14ac:dyDescent="0.2">
      <c r="A346" s="157" t="s">
        <v>666</v>
      </c>
      <c r="B346" s="169" t="s">
        <v>426</v>
      </c>
      <c r="C346" s="705" t="s">
        <v>394</v>
      </c>
      <c r="D346" s="46">
        <v>2026</v>
      </c>
      <c r="E346" s="188">
        <f>F346+G346+H346+I346+J346</f>
        <v>120</v>
      </c>
      <c r="F346" s="188">
        <v>0</v>
      </c>
      <c r="G346" s="188">
        <v>0</v>
      </c>
      <c r="H346" s="188">
        <v>114</v>
      </c>
      <c r="I346" s="188">
        <v>0</v>
      </c>
      <c r="J346" s="188">
        <v>6</v>
      </c>
      <c r="K346" s="261">
        <f t="shared" si="154"/>
        <v>120</v>
      </c>
      <c r="L346" s="161" t="s">
        <v>470</v>
      </c>
      <c r="M346" s="50"/>
      <c r="N346" s="56"/>
      <c r="O346" s="220" t="s">
        <v>237</v>
      </c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6"/>
    </row>
    <row r="347" spans="1:57" s="48" customFormat="1" ht="21.75" customHeight="1" x14ac:dyDescent="0.2">
      <c r="A347" s="697" t="s">
        <v>779</v>
      </c>
      <c r="B347" s="631" t="s">
        <v>780</v>
      </c>
      <c r="C347" s="706"/>
      <c r="D347" s="46" t="s">
        <v>198</v>
      </c>
      <c r="E347" s="47">
        <f>E348</f>
        <v>120</v>
      </c>
      <c r="F347" s="47">
        <f t="shared" ref="F347:J347" si="159">F348</f>
        <v>0</v>
      </c>
      <c r="G347" s="47">
        <f t="shared" si="159"/>
        <v>0</v>
      </c>
      <c r="H347" s="47">
        <f t="shared" si="159"/>
        <v>114</v>
      </c>
      <c r="I347" s="47">
        <f t="shared" si="159"/>
        <v>0</v>
      </c>
      <c r="J347" s="47">
        <f t="shared" si="159"/>
        <v>6</v>
      </c>
      <c r="K347" s="261">
        <f t="shared" si="154"/>
        <v>120</v>
      </c>
      <c r="L347" s="161"/>
      <c r="M347" s="50"/>
      <c r="N347" s="56"/>
      <c r="O347" s="854" t="s">
        <v>238</v>
      </c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6"/>
    </row>
    <row r="348" spans="1:57" s="48" customFormat="1" ht="18.75" customHeight="1" x14ac:dyDescent="0.2">
      <c r="A348" s="672"/>
      <c r="B348" s="632"/>
      <c r="C348" s="770"/>
      <c r="D348" s="46">
        <v>2025</v>
      </c>
      <c r="E348" s="188">
        <f>F348+G348+H348+I348+J348</f>
        <v>120</v>
      </c>
      <c r="F348" s="188">
        <v>0</v>
      </c>
      <c r="G348" s="188">
        <v>0</v>
      </c>
      <c r="H348" s="188">
        <v>114</v>
      </c>
      <c r="I348" s="188">
        <v>0</v>
      </c>
      <c r="J348" s="188">
        <v>6</v>
      </c>
      <c r="K348" s="261">
        <f t="shared" si="154"/>
        <v>120</v>
      </c>
      <c r="L348" s="218" t="s">
        <v>470</v>
      </c>
      <c r="M348" s="50"/>
      <c r="N348" s="56"/>
      <c r="O348" s="678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6"/>
    </row>
    <row r="349" spans="1:57" s="48" customFormat="1" x14ac:dyDescent="0.2">
      <c r="A349" s="665" t="s">
        <v>793</v>
      </c>
      <c r="B349" s="678" t="s">
        <v>794</v>
      </c>
      <c r="C349" s="678" t="s">
        <v>935</v>
      </c>
      <c r="D349" s="46" t="s">
        <v>198</v>
      </c>
      <c r="E349" s="47">
        <f>E350+E351</f>
        <v>5.0999999999999996</v>
      </c>
      <c r="F349" s="47">
        <f t="shared" ref="F349:J349" si="160">F350+F351</f>
        <v>0</v>
      </c>
      <c r="G349" s="47">
        <f t="shared" si="160"/>
        <v>4</v>
      </c>
      <c r="H349" s="47">
        <f t="shared" si="160"/>
        <v>0.75</v>
      </c>
      <c r="I349" s="47">
        <f t="shared" si="160"/>
        <v>0</v>
      </c>
      <c r="J349" s="47">
        <f t="shared" si="160"/>
        <v>0.35</v>
      </c>
      <c r="K349" s="261">
        <f t="shared" si="154"/>
        <v>5.0999999999999996</v>
      </c>
      <c r="L349" s="163"/>
      <c r="M349" s="50"/>
      <c r="N349" s="56"/>
      <c r="O349" s="171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6"/>
    </row>
    <row r="350" spans="1:57" s="48" customFormat="1" x14ac:dyDescent="0.2">
      <c r="A350" s="665"/>
      <c r="B350" s="678"/>
      <c r="C350" s="678"/>
      <c r="D350" s="46">
        <v>2019</v>
      </c>
      <c r="E350" s="188">
        <f>F350+G350+H350+I350+J350</f>
        <v>0.1</v>
      </c>
      <c r="F350" s="188">
        <v>0</v>
      </c>
      <c r="G350" s="188">
        <v>0</v>
      </c>
      <c r="H350" s="188">
        <v>0</v>
      </c>
      <c r="I350" s="188">
        <v>0</v>
      </c>
      <c r="J350" s="188">
        <v>0.1</v>
      </c>
      <c r="K350" s="261">
        <f t="shared" si="154"/>
        <v>0.1</v>
      </c>
      <c r="L350" s="218"/>
      <c r="M350" s="50"/>
      <c r="N350" s="56"/>
      <c r="O350" s="631" t="s">
        <v>232</v>
      </c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6"/>
    </row>
    <row r="351" spans="1:57" s="48" customFormat="1" ht="42.75" customHeight="1" x14ac:dyDescent="0.2">
      <c r="A351" s="665"/>
      <c r="B351" s="678"/>
      <c r="C351" s="678"/>
      <c r="D351" s="46">
        <v>2020</v>
      </c>
      <c r="E351" s="188">
        <f>F351+G351+H351+I351+J351</f>
        <v>5</v>
      </c>
      <c r="F351" s="188">
        <v>0</v>
      </c>
      <c r="G351" s="188">
        <v>4</v>
      </c>
      <c r="H351" s="188">
        <v>0.75</v>
      </c>
      <c r="I351" s="188">
        <v>0</v>
      </c>
      <c r="J351" s="188">
        <v>0.25</v>
      </c>
      <c r="K351" s="261">
        <f t="shared" si="154"/>
        <v>5</v>
      </c>
      <c r="L351" s="162"/>
      <c r="M351" s="50"/>
      <c r="N351" s="56"/>
      <c r="O351" s="702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6"/>
    </row>
    <row r="352" spans="1:57" s="48" customFormat="1" ht="20.25" customHeight="1" x14ac:dyDescent="0.2">
      <c r="A352" s="665" t="s">
        <v>902</v>
      </c>
      <c r="B352" s="678" t="s">
        <v>901</v>
      </c>
      <c r="C352" s="678" t="s">
        <v>394</v>
      </c>
      <c r="D352" s="46" t="s">
        <v>198</v>
      </c>
      <c r="E352" s="47">
        <f>E353</f>
        <v>1.996</v>
      </c>
      <c r="F352" s="47">
        <f t="shared" ref="F352:J352" si="161">F353</f>
        <v>0</v>
      </c>
      <c r="G352" s="47">
        <f t="shared" si="161"/>
        <v>0</v>
      </c>
      <c r="H352" s="47">
        <f t="shared" si="161"/>
        <v>1.198</v>
      </c>
      <c r="I352" s="47">
        <f t="shared" si="161"/>
        <v>0.59899999999999998</v>
      </c>
      <c r="J352" s="47">
        <f t="shared" si="161"/>
        <v>0.19900000000000001</v>
      </c>
      <c r="K352" s="261">
        <f t="shared" si="154"/>
        <v>1.996</v>
      </c>
      <c r="L352" s="162"/>
      <c r="M352" s="50"/>
      <c r="N352" s="56"/>
      <c r="O352" s="250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6"/>
    </row>
    <row r="353" spans="1:57" s="48" customFormat="1" ht="36" customHeight="1" x14ac:dyDescent="0.2">
      <c r="A353" s="665"/>
      <c r="B353" s="678"/>
      <c r="C353" s="678"/>
      <c r="D353" s="46">
        <v>2020</v>
      </c>
      <c r="E353" s="188">
        <f>F353+G353+H353+I353+J353</f>
        <v>1.996</v>
      </c>
      <c r="F353" s="188">
        <v>0</v>
      </c>
      <c r="G353" s="188">
        <v>0</v>
      </c>
      <c r="H353" s="188">
        <v>1.198</v>
      </c>
      <c r="I353" s="188">
        <v>0.59899999999999998</v>
      </c>
      <c r="J353" s="188">
        <v>0.19900000000000001</v>
      </c>
      <c r="K353" s="261">
        <f t="shared" si="154"/>
        <v>1.996</v>
      </c>
      <c r="L353" s="242" t="s">
        <v>906</v>
      </c>
      <c r="M353" s="50"/>
      <c r="N353" s="56"/>
      <c r="O353" s="169" t="s">
        <v>905</v>
      </c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6"/>
    </row>
    <row r="354" spans="1:57" s="48" customFormat="1" x14ac:dyDescent="0.2">
      <c r="A354" s="697" t="s">
        <v>904</v>
      </c>
      <c r="B354" s="631" t="s">
        <v>903</v>
      </c>
      <c r="C354" s="638" t="s">
        <v>386</v>
      </c>
      <c r="D354" s="46" t="s">
        <v>198</v>
      </c>
      <c r="E354" s="47">
        <f t="shared" ref="E354:E355" si="162">F354+G354+H354+I354+J354</f>
        <v>20</v>
      </c>
      <c r="F354" s="47">
        <f>F355</f>
        <v>0</v>
      </c>
      <c r="G354" s="47">
        <f t="shared" ref="G354:J354" si="163">G355</f>
        <v>0</v>
      </c>
      <c r="H354" s="47">
        <f t="shared" si="163"/>
        <v>0</v>
      </c>
      <c r="I354" s="47">
        <f t="shared" si="163"/>
        <v>20</v>
      </c>
      <c r="J354" s="47">
        <f t="shared" si="163"/>
        <v>0</v>
      </c>
      <c r="K354" s="261">
        <f t="shared" si="154"/>
        <v>20</v>
      </c>
      <c r="L354" s="852" t="s">
        <v>907</v>
      </c>
      <c r="M354" s="50"/>
      <c r="N354" s="56"/>
      <c r="O354" s="670" t="s">
        <v>908</v>
      </c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6"/>
    </row>
    <row r="355" spans="1:57" s="48" customFormat="1" x14ac:dyDescent="0.2">
      <c r="A355" s="699"/>
      <c r="B355" s="632"/>
      <c r="C355" s="640"/>
      <c r="D355" s="46">
        <v>2020</v>
      </c>
      <c r="E355" s="188">
        <f t="shared" si="162"/>
        <v>20</v>
      </c>
      <c r="F355" s="188">
        <v>0</v>
      </c>
      <c r="G355" s="188">
        <v>0</v>
      </c>
      <c r="H355" s="188">
        <v>0</v>
      </c>
      <c r="I355" s="188">
        <v>20</v>
      </c>
      <c r="J355" s="188">
        <v>0</v>
      </c>
      <c r="K355" s="261">
        <f t="shared" si="154"/>
        <v>20</v>
      </c>
      <c r="L355" s="853"/>
      <c r="M355" s="50"/>
      <c r="N355" s="56"/>
      <c r="O355" s="672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6"/>
    </row>
    <row r="356" spans="1:57" s="48" customFormat="1" x14ac:dyDescent="0.2">
      <c r="A356" s="697" t="s">
        <v>990</v>
      </c>
      <c r="B356" s="631" t="s">
        <v>933</v>
      </c>
      <c r="C356" s="631" t="s">
        <v>405</v>
      </c>
      <c r="D356" s="46" t="s">
        <v>198</v>
      </c>
      <c r="E356" s="188">
        <f>E357</f>
        <v>3.5059999999999998</v>
      </c>
      <c r="F356" s="188">
        <f t="shared" ref="F356:J356" si="164">F357</f>
        <v>0</v>
      </c>
      <c r="G356" s="188">
        <f t="shared" si="164"/>
        <v>0</v>
      </c>
      <c r="H356" s="188">
        <f t="shared" si="164"/>
        <v>3.4359999999999999</v>
      </c>
      <c r="I356" s="188">
        <f t="shared" si="164"/>
        <v>0</v>
      </c>
      <c r="J356" s="188">
        <f t="shared" si="164"/>
        <v>7.0000000000000007E-2</v>
      </c>
      <c r="K356" s="261">
        <f t="shared" si="154"/>
        <v>3.5059999999999998</v>
      </c>
      <c r="L356" s="221"/>
      <c r="M356" s="50"/>
      <c r="N356" s="56"/>
      <c r="O356" s="670" t="s">
        <v>934</v>
      </c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6"/>
    </row>
    <row r="357" spans="1:57" s="48" customFormat="1" ht="30" customHeight="1" x14ac:dyDescent="0.2">
      <c r="A357" s="699"/>
      <c r="B357" s="632"/>
      <c r="C357" s="701"/>
      <c r="D357" s="46">
        <v>2020</v>
      </c>
      <c r="E357" s="188">
        <f>F357+G357+H357+I357+J357</f>
        <v>3.5059999999999998</v>
      </c>
      <c r="F357" s="188">
        <v>0</v>
      </c>
      <c r="G357" s="188">
        <v>0</v>
      </c>
      <c r="H357" s="188">
        <v>3.4359999999999999</v>
      </c>
      <c r="I357" s="188">
        <v>0</v>
      </c>
      <c r="J357" s="188">
        <v>7.0000000000000007E-2</v>
      </c>
      <c r="K357" s="261">
        <f t="shared" si="154"/>
        <v>3.5059999999999998</v>
      </c>
      <c r="L357" s="221" t="s">
        <v>932</v>
      </c>
      <c r="M357" s="50"/>
      <c r="N357" s="56"/>
      <c r="O357" s="672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6"/>
    </row>
    <row r="358" spans="1:57" s="48" customFormat="1" ht="18.75" customHeight="1" x14ac:dyDescent="0.2">
      <c r="A358" s="652">
        <v>5</v>
      </c>
      <c r="B358" s="649" t="s">
        <v>667</v>
      </c>
      <c r="C358" s="758"/>
      <c r="D358" s="46" t="s">
        <v>198</v>
      </c>
      <c r="E358" s="47">
        <f>E359+E360+E361+E362+E363+E364+E365+E366+E367</f>
        <v>159.89249999999998</v>
      </c>
      <c r="F358" s="47">
        <f t="shared" ref="F358:J358" si="165">F359+F360+F361+F362+F363+F364+F365+F366+F367</f>
        <v>0</v>
      </c>
      <c r="G358" s="47">
        <f t="shared" si="165"/>
        <v>0</v>
      </c>
      <c r="H358" s="47">
        <f t="shared" si="165"/>
        <v>153.40379999999999</v>
      </c>
      <c r="I358" s="47">
        <f t="shared" si="165"/>
        <v>2.5</v>
      </c>
      <c r="J358" s="47">
        <f t="shared" si="165"/>
        <v>3.9887000000000001</v>
      </c>
      <c r="K358" s="261">
        <f t="shared" si="154"/>
        <v>159.89249999999998</v>
      </c>
      <c r="L358" s="162"/>
      <c r="M358" s="50"/>
      <c r="N358" s="56"/>
      <c r="O358" s="27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6"/>
    </row>
    <row r="359" spans="1:57" s="48" customFormat="1" ht="18.75" customHeight="1" x14ac:dyDescent="0.2">
      <c r="A359" s="653"/>
      <c r="B359" s="650"/>
      <c r="C359" s="701"/>
      <c r="D359" s="46">
        <v>2019</v>
      </c>
      <c r="E359" s="47">
        <f>E393</f>
        <v>14.9</v>
      </c>
      <c r="F359" s="47">
        <f t="shared" ref="F359:J359" si="166">F393</f>
        <v>0</v>
      </c>
      <c r="G359" s="47">
        <f t="shared" si="166"/>
        <v>0</v>
      </c>
      <c r="H359" s="47">
        <f t="shared" si="166"/>
        <v>12.4</v>
      </c>
      <c r="I359" s="47">
        <f t="shared" si="166"/>
        <v>2.5</v>
      </c>
      <c r="J359" s="47">
        <f t="shared" si="166"/>
        <v>0</v>
      </c>
      <c r="K359" s="261">
        <f t="shared" si="154"/>
        <v>14.9</v>
      </c>
      <c r="L359" s="55"/>
      <c r="M359" s="50"/>
      <c r="N359" s="56"/>
      <c r="O359" s="274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6"/>
    </row>
    <row r="360" spans="1:57" s="48" customFormat="1" ht="18.75" customHeight="1" x14ac:dyDescent="0.2">
      <c r="A360" s="653"/>
      <c r="B360" s="650"/>
      <c r="C360" s="701"/>
      <c r="D360" s="46">
        <v>2020</v>
      </c>
      <c r="E360" s="47">
        <f>E379+E397</f>
        <v>6.83</v>
      </c>
      <c r="F360" s="47">
        <f t="shared" ref="F360:J360" si="167">F379+F397</f>
        <v>0</v>
      </c>
      <c r="G360" s="47">
        <f t="shared" si="167"/>
        <v>0</v>
      </c>
      <c r="H360" s="47">
        <f t="shared" si="167"/>
        <v>6.6099999999999994</v>
      </c>
      <c r="I360" s="47">
        <f t="shared" si="167"/>
        <v>0</v>
      </c>
      <c r="J360" s="47">
        <f t="shared" si="167"/>
        <v>0.22</v>
      </c>
      <c r="K360" s="261">
        <f t="shared" si="154"/>
        <v>6.8299999999999992</v>
      </c>
      <c r="L360" s="55"/>
      <c r="M360" s="50"/>
      <c r="N360" s="56"/>
      <c r="O360" s="274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6"/>
    </row>
    <row r="361" spans="1:57" s="48" customFormat="1" ht="18.75" customHeight="1" x14ac:dyDescent="0.2">
      <c r="A361" s="751"/>
      <c r="B361" s="701"/>
      <c r="C361" s="701"/>
      <c r="D361" s="46">
        <v>2021</v>
      </c>
      <c r="E361" s="47">
        <f>E375+E380+E395</f>
        <v>65.362499999999997</v>
      </c>
      <c r="F361" s="47">
        <f t="shared" ref="F361:J361" si="168">F375+F380+F395</f>
        <v>0</v>
      </c>
      <c r="G361" s="47">
        <f t="shared" si="168"/>
        <v>0</v>
      </c>
      <c r="H361" s="47">
        <f t="shared" si="168"/>
        <v>65.022499999999994</v>
      </c>
      <c r="I361" s="47">
        <f t="shared" si="168"/>
        <v>0</v>
      </c>
      <c r="J361" s="47">
        <f t="shared" si="168"/>
        <v>0.34</v>
      </c>
      <c r="K361" s="261">
        <f t="shared" si="154"/>
        <v>65.362499999999997</v>
      </c>
      <c r="L361" s="53"/>
      <c r="M361" s="50"/>
      <c r="N361" s="56"/>
      <c r="O361" s="274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6"/>
    </row>
    <row r="362" spans="1:57" s="48" customFormat="1" ht="18.75" customHeight="1" x14ac:dyDescent="0.2">
      <c r="A362" s="751"/>
      <c r="B362" s="701"/>
      <c r="C362" s="701"/>
      <c r="D362" s="46">
        <v>2022</v>
      </c>
      <c r="E362" s="47">
        <f>E373+E390</f>
        <v>3.8</v>
      </c>
      <c r="F362" s="47">
        <f t="shared" ref="F362:J362" si="169">F373+F390</f>
        <v>0</v>
      </c>
      <c r="G362" s="47">
        <f t="shared" si="169"/>
        <v>0</v>
      </c>
      <c r="H362" s="47">
        <f t="shared" si="169"/>
        <v>3.61</v>
      </c>
      <c r="I362" s="47">
        <f t="shared" si="169"/>
        <v>0</v>
      </c>
      <c r="J362" s="47">
        <f t="shared" si="169"/>
        <v>0.19</v>
      </c>
      <c r="K362" s="261">
        <f t="shared" si="154"/>
        <v>3.8</v>
      </c>
      <c r="L362" s="53"/>
      <c r="M362" s="50"/>
      <c r="N362" s="56"/>
      <c r="O362" s="274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6"/>
    </row>
    <row r="363" spans="1:57" s="48" customFormat="1" ht="18" customHeight="1" x14ac:dyDescent="0.2">
      <c r="A363" s="751"/>
      <c r="B363" s="701"/>
      <c r="C363" s="701"/>
      <c r="D363" s="46">
        <v>2023</v>
      </c>
      <c r="E363" s="47">
        <f>E382+E386+E391</f>
        <v>7.6</v>
      </c>
      <c r="F363" s="47">
        <f t="shared" ref="F363:J363" si="170">F382+F386+F391</f>
        <v>0</v>
      </c>
      <c r="G363" s="47">
        <f t="shared" si="170"/>
        <v>0</v>
      </c>
      <c r="H363" s="47">
        <f t="shared" si="170"/>
        <v>7.22</v>
      </c>
      <c r="I363" s="47">
        <f t="shared" si="170"/>
        <v>0</v>
      </c>
      <c r="J363" s="47">
        <f t="shared" si="170"/>
        <v>0.38</v>
      </c>
      <c r="K363" s="261">
        <f t="shared" si="154"/>
        <v>7.6</v>
      </c>
      <c r="L363" s="53"/>
      <c r="M363" s="50"/>
      <c r="N363" s="56"/>
      <c r="O363" s="274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6"/>
    </row>
    <row r="364" spans="1:57" s="48" customFormat="1" ht="16.5" customHeight="1" x14ac:dyDescent="0.2">
      <c r="A364" s="751"/>
      <c r="B364" s="701"/>
      <c r="C364" s="701"/>
      <c r="D364" s="46">
        <v>2024</v>
      </c>
      <c r="E364" s="47">
        <f>E384</f>
        <v>3.8</v>
      </c>
      <c r="F364" s="47">
        <f t="shared" ref="F364:J364" si="171">F384</f>
        <v>0</v>
      </c>
      <c r="G364" s="47">
        <f t="shared" si="171"/>
        <v>0</v>
      </c>
      <c r="H364" s="47">
        <f t="shared" si="171"/>
        <v>3.61</v>
      </c>
      <c r="I364" s="47">
        <f t="shared" si="171"/>
        <v>0</v>
      </c>
      <c r="J364" s="47">
        <f t="shared" si="171"/>
        <v>0.19</v>
      </c>
      <c r="K364" s="261">
        <f t="shared" si="154"/>
        <v>3.8</v>
      </c>
      <c r="L364" s="53"/>
      <c r="M364" s="50"/>
      <c r="N364" s="56"/>
      <c r="O364" s="274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6"/>
    </row>
    <row r="365" spans="1:57" s="48" customFormat="1" ht="21" customHeight="1" x14ac:dyDescent="0.2">
      <c r="A365" s="751"/>
      <c r="B365" s="701"/>
      <c r="C365" s="701"/>
      <c r="D365" s="46">
        <v>2025</v>
      </c>
      <c r="E365" s="47">
        <f>E377</f>
        <v>4.7</v>
      </c>
      <c r="F365" s="47">
        <f t="shared" ref="F365:J365" si="172">F377</f>
        <v>0</v>
      </c>
      <c r="G365" s="47">
        <f t="shared" si="172"/>
        <v>0</v>
      </c>
      <c r="H365" s="47">
        <f t="shared" si="172"/>
        <v>4.5</v>
      </c>
      <c r="I365" s="47">
        <f t="shared" si="172"/>
        <v>0</v>
      </c>
      <c r="J365" s="47">
        <f t="shared" si="172"/>
        <v>0.2</v>
      </c>
      <c r="K365" s="261">
        <f t="shared" si="154"/>
        <v>4.7</v>
      </c>
      <c r="L365" s="53"/>
      <c r="M365" s="50"/>
      <c r="N365" s="56"/>
      <c r="O365" s="274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6"/>
    </row>
    <row r="366" spans="1:57" s="48" customFormat="1" ht="21" customHeight="1" x14ac:dyDescent="0.2">
      <c r="A366" s="751"/>
      <c r="B366" s="701"/>
      <c r="C366" s="701"/>
      <c r="D366" s="46">
        <v>2027</v>
      </c>
      <c r="E366" s="47">
        <f>E369+E388</f>
        <v>14.2</v>
      </c>
      <c r="F366" s="47">
        <f t="shared" ref="F366:J366" si="173">F369+F388</f>
        <v>0</v>
      </c>
      <c r="G366" s="47">
        <f t="shared" si="173"/>
        <v>0</v>
      </c>
      <c r="H366" s="47">
        <f t="shared" si="173"/>
        <v>13.6663</v>
      </c>
      <c r="I366" s="47">
        <f t="shared" si="173"/>
        <v>0</v>
      </c>
      <c r="J366" s="47">
        <f t="shared" si="173"/>
        <v>0.53370000000000006</v>
      </c>
      <c r="K366" s="261">
        <f t="shared" si="154"/>
        <v>14.2</v>
      </c>
      <c r="L366" s="53"/>
      <c r="M366" s="50"/>
      <c r="N366" s="56"/>
      <c r="O366" s="274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6"/>
    </row>
    <row r="367" spans="1:57" s="48" customFormat="1" ht="17.25" customHeight="1" x14ac:dyDescent="0.2">
      <c r="A367" s="752"/>
      <c r="B367" s="702"/>
      <c r="C367" s="702"/>
      <c r="D367" s="46">
        <v>2029</v>
      </c>
      <c r="E367" s="47">
        <f>E371</f>
        <v>38.700000000000003</v>
      </c>
      <c r="F367" s="47">
        <f t="shared" ref="F367:J367" si="174">F371</f>
        <v>0</v>
      </c>
      <c r="G367" s="47">
        <f t="shared" si="174"/>
        <v>0</v>
      </c>
      <c r="H367" s="47">
        <f t="shared" si="174"/>
        <v>36.765000000000001</v>
      </c>
      <c r="I367" s="47">
        <f t="shared" si="174"/>
        <v>0</v>
      </c>
      <c r="J367" s="47">
        <f t="shared" si="174"/>
        <v>1.9350000000000001</v>
      </c>
      <c r="K367" s="261">
        <f t="shared" si="154"/>
        <v>38.700000000000003</v>
      </c>
      <c r="L367" s="53"/>
      <c r="M367" s="50"/>
      <c r="N367" s="56"/>
      <c r="O367" s="274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6"/>
    </row>
    <row r="368" spans="1:57" s="48" customFormat="1" x14ac:dyDescent="0.2">
      <c r="A368" s="697" t="s">
        <v>795</v>
      </c>
      <c r="B368" s="631" t="s">
        <v>434</v>
      </c>
      <c r="C368" s="648" t="s">
        <v>396</v>
      </c>
      <c r="D368" s="46" t="s">
        <v>198</v>
      </c>
      <c r="E368" s="47">
        <f t="shared" ref="E368:J368" si="175">E369</f>
        <v>9.1999999999999993</v>
      </c>
      <c r="F368" s="47">
        <f t="shared" si="175"/>
        <v>0</v>
      </c>
      <c r="G368" s="47">
        <f t="shared" si="175"/>
        <v>0</v>
      </c>
      <c r="H368" s="47">
        <f t="shared" si="175"/>
        <v>8.74</v>
      </c>
      <c r="I368" s="47">
        <f t="shared" si="175"/>
        <v>0</v>
      </c>
      <c r="J368" s="47">
        <f t="shared" si="175"/>
        <v>0.46</v>
      </c>
      <c r="K368" s="261">
        <f t="shared" si="154"/>
        <v>9.2000000000000011</v>
      </c>
      <c r="L368" s="633" t="s">
        <v>421</v>
      </c>
      <c r="M368" s="50"/>
      <c r="N368" s="802">
        <v>0</v>
      </c>
      <c r="O368" s="746" t="s">
        <v>227</v>
      </c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6"/>
    </row>
    <row r="369" spans="1:57" s="48" customFormat="1" ht="16.5" customHeight="1" x14ac:dyDescent="0.2">
      <c r="A369" s="699"/>
      <c r="B369" s="702"/>
      <c r="C369" s="648"/>
      <c r="D369" s="189">
        <v>2027</v>
      </c>
      <c r="E369" s="188">
        <v>9.1999999999999993</v>
      </c>
      <c r="F369" s="188">
        <v>0</v>
      </c>
      <c r="G369" s="188">
        <v>0</v>
      </c>
      <c r="H369" s="188">
        <v>8.74</v>
      </c>
      <c r="I369" s="188">
        <v>0</v>
      </c>
      <c r="J369" s="188">
        <v>0.46</v>
      </c>
      <c r="K369" s="261">
        <f t="shared" si="154"/>
        <v>9.2000000000000011</v>
      </c>
      <c r="L369" s="734"/>
      <c r="M369" s="50"/>
      <c r="N369" s="848"/>
      <c r="O369" s="747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6"/>
    </row>
    <row r="370" spans="1:57" s="48" customFormat="1" ht="10.5" customHeight="1" x14ac:dyDescent="0.2">
      <c r="A370" s="697" t="s">
        <v>796</v>
      </c>
      <c r="B370" s="631" t="s">
        <v>433</v>
      </c>
      <c r="C370" s="648"/>
      <c r="D370" s="46" t="s">
        <v>198</v>
      </c>
      <c r="E370" s="47">
        <f t="shared" ref="E370:J370" si="176">E371</f>
        <v>38.700000000000003</v>
      </c>
      <c r="F370" s="47">
        <f t="shared" si="176"/>
        <v>0</v>
      </c>
      <c r="G370" s="47">
        <f t="shared" si="176"/>
        <v>0</v>
      </c>
      <c r="H370" s="47">
        <f t="shared" si="176"/>
        <v>36.765000000000001</v>
      </c>
      <c r="I370" s="47">
        <f t="shared" si="176"/>
        <v>0</v>
      </c>
      <c r="J370" s="47">
        <f t="shared" si="176"/>
        <v>1.9350000000000001</v>
      </c>
      <c r="K370" s="261">
        <f t="shared" si="154"/>
        <v>38.700000000000003</v>
      </c>
      <c r="L370" s="806" t="s">
        <v>421</v>
      </c>
      <c r="M370" s="50"/>
      <c r="N370" s="802">
        <v>3</v>
      </c>
      <c r="O370" s="747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6"/>
    </row>
    <row r="371" spans="1:57" s="48" customFormat="1" ht="18.75" customHeight="1" x14ac:dyDescent="0.2">
      <c r="A371" s="699"/>
      <c r="B371" s="702"/>
      <c r="C371" s="632"/>
      <c r="D371" s="189">
        <v>2029</v>
      </c>
      <c r="E371" s="188">
        <f>F371+G371+H371+I371+J371</f>
        <v>38.700000000000003</v>
      </c>
      <c r="F371" s="188">
        <v>0</v>
      </c>
      <c r="G371" s="188">
        <v>0</v>
      </c>
      <c r="H371" s="188">
        <v>36.765000000000001</v>
      </c>
      <c r="I371" s="188">
        <v>0</v>
      </c>
      <c r="J371" s="188">
        <v>1.9350000000000001</v>
      </c>
      <c r="K371" s="261">
        <f t="shared" si="154"/>
        <v>38.700000000000003</v>
      </c>
      <c r="L371" s="637"/>
      <c r="M371" s="50"/>
      <c r="N371" s="848"/>
      <c r="O371" s="748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6"/>
    </row>
    <row r="372" spans="1:57" s="48" customFormat="1" x14ac:dyDescent="0.2">
      <c r="A372" s="697" t="s">
        <v>797</v>
      </c>
      <c r="B372" s="631" t="s">
        <v>432</v>
      </c>
      <c r="C372" s="631" t="s">
        <v>395</v>
      </c>
      <c r="D372" s="46" t="s">
        <v>198</v>
      </c>
      <c r="E372" s="47">
        <f t="shared" ref="E372:J372" si="177">E373</f>
        <v>3.8</v>
      </c>
      <c r="F372" s="47">
        <f t="shared" si="177"/>
        <v>0</v>
      </c>
      <c r="G372" s="47">
        <f t="shared" si="177"/>
        <v>0</v>
      </c>
      <c r="H372" s="47">
        <f t="shared" si="177"/>
        <v>3.61</v>
      </c>
      <c r="I372" s="47">
        <f t="shared" si="177"/>
        <v>0</v>
      </c>
      <c r="J372" s="47">
        <f t="shared" si="177"/>
        <v>0.19</v>
      </c>
      <c r="K372" s="261">
        <f t="shared" si="154"/>
        <v>3.8</v>
      </c>
      <c r="L372" s="60"/>
      <c r="M372" s="50"/>
      <c r="N372" s="802">
        <v>1</v>
      </c>
      <c r="O372" s="746" t="s">
        <v>234</v>
      </c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6"/>
    </row>
    <row r="373" spans="1:57" s="48" customFormat="1" ht="51.75" customHeight="1" x14ac:dyDescent="0.2">
      <c r="A373" s="699"/>
      <c r="B373" s="702"/>
      <c r="C373" s="702"/>
      <c r="D373" s="189">
        <v>2022</v>
      </c>
      <c r="E373" s="188">
        <f>F373+G373+H373+I373+J373</f>
        <v>3.8</v>
      </c>
      <c r="F373" s="188">
        <v>0</v>
      </c>
      <c r="G373" s="188">
        <v>0</v>
      </c>
      <c r="H373" s="188">
        <v>3.61</v>
      </c>
      <c r="I373" s="188">
        <v>0</v>
      </c>
      <c r="J373" s="188">
        <v>0.19</v>
      </c>
      <c r="K373" s="261">
        <f t="shared" si="154"/>
        <v>3.8</v>
      </c>
      <c r="L373" s="160" t="s">
        <v>420</v>
      </c>
      <c r="M373" s="50"/>
      <c r="N373" s="848"/>
      <c r="O373" s="748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6"/>
    </row>
    <row r="374" spans="1:57" s="48" customFormat="1" x14ac:dyDescent="0.2">
      <c r="A374" s="697" t="s">
        <v>798</v>
      </c>
      <c r="B374" s="631" t="s">
        <v>431</v>
      </c>
      <c r="C374" s="631" t="s">
        <v>393</v>
      </c>
      <c r="D374" s="46" t="s">
        <v>198</v>
      </c>
      <c r="E374" s="47">
        <f t="shared" ref="E374:J374" si="178">E375</f>
        <v>3.8</v>
      </c>
      <c r="F374" s="47">
        <f t="shared" si="178"/>
        <v>0</v>
      </c>
      <c r="G374" s="47">
        <f t="shared" si="178"/>
        <v>0</v>
      </c>
      <c r="H374" s="47">
        <f t="shared" si="178"/>
        <v>3.61</v>
      </c>
      <c r="I374" s="47">
        <f t="shared" si="178"/>
        <v>0</v>
      </c>
      <c r="J374" s="47">
        <f t="shared" si="178"/>
        <v>0.19</v>
      </c>
      <c r="K374" s="261">
        <f t="shared" si="154"/>
        <v>3.8</v>
      </c>
      <c r="L374" s="806" t="s">
        <v>420</v>
      </c>
      <c r="M374" s="50"/>
      <c r="N374" s="802">
        <v>1</v>
      </c>
      <c r="O374" s="746" t="s">
        <v>235</v>
      </c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6"/>
    </row>
    <row r="375" spans="1:57" s="48" customFormat="1" ht="57.75" customHeight="1" x14ac:dyDescent="0.2">
      <c r="A375" s="699"/>
      <c r="B375" s="702"/>
      <c r="C375" s="702"/>
      <c r="D375" s="189">
        <v>2021</v>
      </c>
      <c r="E375" s="188">
        <f>F375+G375+H375+I375+J375</f>
        <v>3.8</v>
      </c>
      <c r="F375" s="188">
        <v>0</v>
      </c>
      <c r="G375" s="188">
        <v>0</v>
      </c>
      <c r="H375" s="188">
        <v>3.61</v>
      </c>
      <c r="I375" s="188">
        <v>0</v>
      </c>
      <c r="J375" s="188">
        <v>0.19</v>
      </c>
      <c r="K375" s="261">
        <f t="shared" si="154"/>
        <v>3.8</v>
      </c>
      <c r="L375" s="849"/>
      <c r="M375" s="50"/>
      <c r="N375" s="851"/>
      <c r="O375" s="747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6"/>
    </row>
    <row r="376" spans="1:57" s="48" customFormat="1" x14ac:dyDescent="0.2">
      <c r="A376" s="697" t="s">
        <v>668</v>
      </c>
      <c r="B376" s="631" t="s">
        <v>430</v>
      </c>
      <c r="C376" s="631" t="s">
        <v>393</v>
      </c>
      <c r="D376" s="46" t="s">
        <v>198</v>
      </c>
      <c r="E376" s="47">
        <f t="shared" ref="E376:J376" si="179">E377</f>
        <v>4.7</v>
      </c>
      <c r="F376" s="47">
        <f t="shared" si="179"/>
        <v>0</v>
      </c>
      <c r="G376" s="47">
        <f t="shared" si="179"/>
        <v>0</v>
      </c>
      <c r="H376" s="47">
        <f t="shared" si="179"/>
        <v>4.5</v>
      </c>
      <c r="I376" s="47">
        <f t="shared" si="179"/>
        <v>0</v>
      </c>
      <c r="J376" s="47">
        <f t="shared" si="179"/>
        <v>0.2</v>
      </c>
      <c r="K376" s="261">
        <f t="shared" si="154"/>
        <v>4.7</v>
      </c>
      <c r="L376" s="60"/>
      <c r="M376" s="50"/>
      <c r="N376" s="850">
        <v>2</v>
      </c>
      <c r="O376" s="746" t="s">
        <v>236</v>
      </c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6"/>
    </row>
    <row r="377" spans="1:57" s="48" customFormat="1" ht="60.75" customHeight="1" x14ac:dyDescent="0.2">
      <c r="A377" s="699"/>
      <c r="B377" s="702"/>
      <c r="C377" s="702"/>
      <c r="D377" s="189">
        <v>2025</v>
      </c>
      <c r="E377" s="188">
        <f>F377+G377+H377+I377+J377</f>
        <v>4.7</v>
      </c>
      <c r="F377" s="188">
        <v>0</v>
      </c>
      <c r="G377" s="188">
        <v>0</v>
      </c>
      <c r="H377" s="188">
        <v>4.5</v>
      </c>
      <c r="I377" s="188">
        <v>0</v>
      </c>
      <c r="J377" s="188">
        <v>0.2</v>
      </c>
      <c r="K377" s="261">
        <f t="shared" si="154"/>
        <v>4.7</v>
      </c>
      <c r="L377" s="160" t="s">
        <v>810</v>
      </c>
      <c r="M377" s="50"/>
      <c r="N377" s="851"/>
      <c r="O377" s="72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6"/>
    </row>
    <row r="378" spans="1:57" s="48" customFormat="1" ht="25.5" customHeight="1" x14ac:dyDescent="0.2">
      <c r="A378" s="697" t="s">
        <v>669</v>
      </c>
      <c r="B378" s="631" t="s">
        <v>918</v>
      </c>
      <c r="C378" s="631" t="s">
        <v>396</v>
      </c>
      <c r="D378" s="46" t="s">
        <v>198</v>
      </c>
      <c r="E378" s="47">
        <f>E379+E380</f>
        <v>63.105000000000004</v>
      </c>
      <c r="F378" s="47">
        <f t="shared" ref="F378:J378" si="180">F379+F380</f>
        <v>0</v>
      </c>
      <c r="G378" s="47">
        <f t="shared" si="180"/>
        <v>0</v>
      </c>
      <c r="H378" s="47">
        <f t="shared" si="180"/>
        <v>63</v>
      </c>
      <c r="I378" s="47">
        <f t="shared" si="180"/>
        <v>0</v>
      </c>
      <c r="J378" s="47">
        <f t="shared" si="180"/>
        <v>0.105</v>
      </c>
      <c r="K378" s="261">
        <f t="shared" si="154"/>
        <v>63.104999999999997</v>
      </c>
      <c r="L378" s="806"/>
      <c r="M378" s="50"/>
      <c r="N378" s="109"/>
      <c r="O378" s="72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6"/>
    </row>
    <row r="379" spans="1:57" s="48" customFormat="1" x14ac:dyDescent="0.2">
      <c r="A379" s="698"/>
      <c r="B379" s="648"/>
      <c r="C379" s="648"/>
      <c r="D379" s="189">
        <v>2020</v>
      </c>
      <c r="E379" s="188">
        <f>F379+G379+H379+I379+J379</f>
        <v>3.03</v>
      </c>
      <c r="F379" s="188">
        <v>0</v>
      </c>
      <c r="G379" s="188">
        <v>0</v>
      </c>
      <c r="H379" s="188">
        <v>3</v>
      </c>
      <c r="I379" s="188">
        <v>0</v>
      </c>
      <c r="J379" s="188">
        <v>0.03</v>
      </c>
      <c r="K379" s="261">
        <f t="shared" si="154"/>
        <v>3.03</v>
      </c>
      <c r="L379" s="807"/>
      <c r="M379" s="50"/>
      <c r="N379" s="276"/>
      <c r="O379" s="72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6"/>
    </row>
    <row r="380" spans="1:57" s="48" customFormat="1" x14ac:dyDescent="0.2">
      <c r="A380" s="699"/>
      <c r="B380" s="632"/>
      <c r="C380" s="632"/>
      <c r="D380" s="189">
        <v>2021</v>
      </c>
      <c r="E380" s="188">
        <f>F380+G380+H380+I380+J380</f>
        <v>60.075000000000003</v>
      </c>
      <c r="F380" s="188">
        <v>0</v>
      </c>
      <c r="G380" s="188">
        <v>0</v>
      </c>
      <c r="H380" s="188">
        <v>60</v>
      </c>
      <c r="I380" s="188">
        <v>0</v>
      </c>
      <c r="J380" s="188">
        <v>7.4999999999999997E-2</v>
      </c>
      <c r="K380" s="261">
        <f t="shared" si="154"/>
        <v>60.075000000000003</v>
      </c>
      <c r="L380" s="167"/>
      <c r="M380" s="50"/>
      <c r="N380" s="277"/>
      <c r="O380" s="274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6"/>
    </row>
    <row r="381" spans="1:57" s="48" customFormat="1" ht="18.75" customHeight="1" x14ac:dyDescent="0.2">
      <c r="A381" s="697" t="s">
        <v>799</v>
      </c>
      <c r="B381" s="631" t="s">
        <v>429</v>
      </c>
      <c r="C381" s="631" t="s">
        <v>393</v>
      </c>
      <c r="D381" s="46" t="s">
        <v>198</v>
      </c>
      <c r="E381" s="47">
        <f t="shared" ref="E381:J381" si="181">E382</f>
        <v>3.8</v>
      </c>
      <c r="F381" s="47">
        <f t="shared" si="181"/>
        <v>0</v>
      </c>
      <c r="G381" s="47">
        <f t="shared" si="181"/>
        <v>0</v>
      </c>
      <c r="H381" s="47">
        <f t="shared" si="181"/>
        <v>3.61</v>
      </c>
      <c r="I381" s="47">
        <f t="shared" si="181"/>
        <v>0</v>
      </c>
      <c r="J381" s="47">
        <f t="shared" si="181"/>
        <v>0.19</v>
      </c>
      <c r="K381" s="261">
        <f t="shared" si="154"/>
        <v>3.8</v>
      </c>
      <c r="L381" s="806" t="s">
        <v>420</v>
      </c>
      <c r="M381" s="50"/>
      <c r="N381" s="802">
        <v>1</v>
      </c>
      <c r="O381" s="746" t="s">
        <v>237</v>
      </c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6"/>
    </row>
    <row r="382" spans="1:57" s="48" customFormat="1" ht="33.75" customHeight="1" x14ac:dyDescent="0.2">
      <c r="A382" s="699"/>
      <c r="B382" s="702"/>
      <c r="C382" s="702"/>
      <c r="D382" s="189">
        <v>2023</v>
      </c>
      <c r="E382" s="188">
        <f>F382+G382+H382+I382+J382</f>
        <v>3.8</v>
      </c>
      <c r="F382" s="188">
        <v>0</v>
      </c>
      <c r="G382" s="188">
        <v>0</v>
      </c>
      <c r="H382" s="188">
        <v>3.61</v>
      </c>
      <c r="I382" s="188">
        <v>0</v>
      </c>
      <c r="J382" s="188">
        <v>0.19</v>
      </c>
      <c r="K382" s="261">
        <f t="shared" si="154"/>
        <v>3.8</v>
      </c>
      <c r="L382" s="849"/>
      <c r="M382" s="50"/>
      <c r="N382" s="848"/>
      <c r="O382" s="747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6"/>
    </row>
    <row r="383" spans="1:57" s="48" customFormat="1" ht="18.75" customHeight="1" x14ac:dyDescent="0.2">
      <c r="A383" s="697" t="s">
        <v>800</v>
      </c>
      <c r="B383" s="631" t="s">
        <v>428</v>
      </c>
      <c r="C383" s="631" t="s">
        <v>393</v>
      </c>
      <c r="D383" s="46" t="s">
        <v>198</v>
      </c>
      <c r="E383" s="47">
        <f t="shared" ref="E383:J383" si="182">E384</f>
        <v>3.8</v>
      </c>
      <c r="F383" s="47">
        <f t="shared" si="182"/>
        <v>0</v>
      </c>
      <c r="G383" s="47">
        <f t="shared" si="182"/>
        <v>0</v>
      </c>
      <c r="H383" s="47">
        <f t="shared" si="182"/>
        <v>3.61</v>
      </c>
      <c r="I383" s="47">
        <f t="shared" si="182"/>
        <v>0</v>
      </c>
      <c r="J383" s="47">
        <f t="shared" si="182"/>
        <v>0.19</v>
      </c>
      <c r="K383" s="261">
        <f t="shared" si="154"/>
        <v>3.8</v>
      </c>
      <c r="L383" s="806" t="s">
        <v>420</v>
      </c>
      <c r="M383" s="50"/>
      <c r="N383" s="802">
        <v>1</v>
      </c>
      <c r="O383" s="747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6"/>
    </row>
    <row r="384" spans="1:57" s="48" customFormat="1" ht="42" customHeight="1" x14ac:dyDescent="0.2">
      <c r="A384" s="699"/>
      <c r="B384" s="702"/>
      <c r="C384" s="702"/>
      <c r="D384" s="189">
        <v>2024</v>
      </c>
      <c r="E384" s="188">
        <f>F384+G384+H384+I384+J384</f>
        <v>3.8</v>
      </c>
      <c r="F384" s="188">
        <v>0</v>
      </c>
      <c r="G384" s="188">
        <v>0</v>
      </c>
      <c r="H384" s="188">
        <v>3.61</v>
      </c>
      <c r="I384" s="188">
        <v>0</v>
      </c>
      <c r="J384" s="188">
        <v>0.19</v>
      </c>
      <c r="K384" s="261">
        <f t="shared" si="154"/>
        <v>3.8</v>
      </c>
      <c r="L384" s="849"/>
      <c r="M384" s="50"/>
      <c r="N384" s="848"/>
      <c r="O384" s="747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6"/>
    </row>
    <row r="385" spans="1:57" s="48" customFormat="1" ht="21" customHeight="1" x14ac:dyDescent="0.2">
      <c r="A385" s="697" t="s">
        <v>801</v>
      </c>
      <c r="B385" s="631" t="s">
        <v>427</v>
      </c>
      <c r="C385" s="631" t="s">
        <v>393</v>
      </c>
      <c r="D385" s="46" t="s">
        <v>198</v>
      </c>
      <c r="E385" s="47">
        <f t="shared" ref="E385:J385" si="183">E386</f>
        <v>3.8</v>
      </c>
      <c r="F385" s="47">
        <f t="shared" si="183"/>
        <v>0</v>
      </c>
      <c r="G385" s="47">
        <f t="shared" si="183"/>
        <v>0</v>
      </c>
      <c r="H385" s="47">
        <f t="shared" si="183"/>
        <v>3.61</v>
      </c>
      <c r="I385" s="47">
        <f t="shared" si="183"/>
        <v>0</v>
      </c>
      <c r="J385" s="47">
        <f t="shared" si="183"/>
        <v>0.19</v>
      </c>
      <c r="K385" s="261">
        <f t="shared" si="154"/>
        <v>3.8</v>
      </c>
      <c r="L385" s="58" t="s">
        <v>420</v>
      </c>
      <c r="M385" s="50"/>
      <c r="N385" s="802">
        <v>1</v>
      </c>
      <c r="O385" s="746" t="s">
        <v>238</v>
      </c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6"/>
    </row>
    <row r="386" spans="1:57" s="48" customFormat="1" ht="31.5" customHeight="1" x14ac:dyDescent="0.2">
      <c r="A386" s="699"/>
      <c r="B386" s="702"/>
      <c r="C386" s="702"/>
      <c r="D386" s="189">
        <v>2023</v>
      </c>
      <c r="E386" s="188">
        <f>F386+G386+H386+I386+J386</f>
        <v>3.8</v>
      </c>
      <c r="F386" s="188">
        <v>0</v>
      </c>
      <c r="G386" s="188">
        <v>0</v>
      </c>
      <c r="H386" s="188">
        <v>3.61</v>
      </c>
      <c r="I386" s="188">
        <v>0</v>
      </c>
      <c r="J386" s="188">
        <v>0.19</v>
      </c>
      <c r="K386" s="261">
        <f t="shared" si="154"/>
        <v>3.8</v>
      </c>
      <c r="L386" s="186"/>
      <c r="M386" s="50"/>
      <c r="N386" s="848"/>
      <c r="O386" s="747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6"/>
    </row>
    <row r="387" spans="1:57" s="48" customFormat="1" ht="19.5" customHeight="1" x14ac:dyDescent="0.2">
      <c r="A387" s="697" t="s">
        <v>802</v>
      </c>
      <c r="B387" s="631" t="s">
        <v>422</v>
      </c>
      <c r="C387" s="631" t="s">
        <v>393</v>
      </c>
      <c r="D387" s="46" t="s">
        <v>198</v>
      </c>
      <c r="E387" s="47">
        <f>E388</f>
        <v>5</v>
      </c>
      <c r="F387" s="47">
        <f t="shared" ref="F387:J387" si="184">F388</f>
        <v>0</v>
      </c>
      <c r="G387" s="47">
        <f t="shared" si="184"/>
        <v>0</v>
      </c>
      <c r="H387" s="47">
        <f t="shared" si="184"/>
        <v>4.9263000000000003</v>
      </c>
      <c r="I387" s="47">
        <f t="shared" si="184"/>
        <v>0</v>
      </c>
      <c r="J387" s="47">
        <f t="shared" si="184"/>
        <v>7.3700000000000002E-2</v>
      </c>
      <c r="K387" s="261">
        <f t="shared" si="154"/>
        <v>5</v>
      </c>
      <c r="L387" s="806" t="s">
        <v>420</v>
      </c>
      <c r="M387" s="50"/>
      <c r="N387" s="802">
        <v>1</v>
      </c>
      <c r="O387" s="746" t="s">
        <v>419</v>
      </c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6"/>
    </row>
    <row r="388" spans="1:57" s="48" customFormat="1" ht="34.5" customHeight="1" x14ac:dyDescent="0.2">
      <c r="A388" s="699"/>
      <c r="B388" s="632"/>
      <c r="C388" s="702"/>
      <c r="D388" s="189">
        <v>2027</v>
      </c>
      <c r="E388" s="188">
        <f>F388+G388+H388+I388+J388</f>
        <v>5</v>
      </c>
      <c r="F388" s="188">
        <v>0</v>
      </c>
      <c r="G388" s="188">
        <v>0</v>
      </c>
      <c r="H388" s="188">
        <v>4.9263000000000003</v>
      </c>
      <c r="I388" s="188">
        <v>0</v>
      </c>
      <c r="J388" s="188">
        <v>7.3700000000000002E-2</v>
      </c>
      <c r="K388" s="261">
        <f t="shared" si="154"/>
        <v>5</v>
      </c>
      <c r="L388" s="637"/>
      <c r="M388" s="50"/>
      <c r="N388" s="848"/>
      <c r="O388" s="748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6"/>
    </row>
    <row r="389" spans="1:57" s="48" customFormat="1" ht="19.5" customHeight="1" x14ac:dyDescent="0.2">
      <c r="A389" s="697" t="s">
        <v>853</v>
      </c>
      <c r="B389" s="678" t="s">
        <v>553</v>
      </c>
      <c r="C389" s="648" t="s">
        <v>890</v>
      </c>
      <c r="D389" s="46" t="s">
        <v>198</v>
      </c>
      <c r="E389" s="47">
        <f t="shared" ref="E389:J389" si="185">E390+E391</f>
        <v>0</v>
      </c>
      <c r="F389" s="47">
        <f t="shared" si="185"/>
        <v>0</v>
      </c>
      <c r="G389" s="47">
        <f t="shared" si="185"/>
        <v>0</v>
      </c>
      <c r="H389" s="47">
        <f t="shared" si="185"/>
        <v>0</v>
      </c>
      <c r="I389" s="47">
        <f t="shared" si="185"/>
        <v>0</v>
      </c>
      <c r="J389" s="47">
        <f t="shared" si="185"/>
        <v>0</v>
      </c>
      <c r="K389" s="261">
        <f t="shared" si="154"/>
        <v>0</v>
      </c>
      <c r="L389" s="842" t="s">
        <v>859</v>
      </c>
      <c r="M389" s="50"/>
      <c r="N389" s="56"/>
      <c r="O389" s="845" t="s">
        <v>230</v>
      </c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6"/>
    </row>
    <row r="390" spans="1:57" s="48" customFormat="1" x14ac:dyDescent="0.2">
      <c r="A390" s="698"/>
      <c r="B390" s="678"/>
      <c r="C390" s="648"/>
      <c r="D390" s="189">
        <v>2022</v>
      </c>
      <c r="E390" s="188">
        <f>F390+G390+H390+I390+J390</f>
        <v>0</v>
      </c>
      <c r="F390" s="188">
        <v>0</v>
      </c>
      <c r="G390" s="188">
        <v>0</v>
      </c>
      <c r="H390" s="188">
        <v>0</v>
      </c>
      <c r="I390" s="188">
        <v>0</v>
      </c>
      <c r="J390" s="188">
        <v>0</v>
      </c>
      <c r="K390" s="261">
        <f t="shared" si="154"/>
        <v>0</v>
      </c>
      <c r="L390" s="843"/>
      <c r="M390" s="50"/>
      <c r="N390" s="56"/>
      <c r="O390" s="84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6"/>
    </row>
    <row r="391" spans="1:57" s="48" customFormat="1" x14ac:dyDescent="0.2">
      <c r="A391" s="699"/>
      <c r="B391" s="678"/>
      <c r="C391" s="648"/>
      <c r="D391" s="237">
        <v>2023</v>
      </c>
      <c r="E391" s="188">
        <f>F391+G391+H391+I391+J391</f>
        <v>0</v>
      </c>
      <c r="F391" s="188">
        <v>0</v>
      </c>
      <c r="G391" s="188">
        <v>0</v>
      </c>
      <c r="H391" s="278">
        <v>0</v>
      </c>
      <c r="I391" s="188">
        <v>0</v>
      </c>
      <c r="J391" s="188">
        <v>0</v>
      </c>
      <c r="K391" s="261">
        <f t="shared" si="154"/>
        <v>0</v>
      </c>
      <c r="L391" s="844"/>
      <c r="M391" s="50"/>
      <c r="N391" s="56"/>
      <c r="O391" s="846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6"/>
    </row>
    <row r="392" spans="1:57" s="48" customFormat="1" x14ac:dyDescent="0.2">
      <c r="A392" s="697" t="s">
        <v>854</v>
      </c>
      <c r="B392" s="631" t="s">
        <v>588</v>
      </c>
      <c r="C392" s="847" t="s">
        <v>731</v>
      </c>
      <c r="D392" s="46" t="s">
        <v>198</v>
      </c>
      <c r="E392" s="47">
        <f>E393</f>
        <v>14.9</v>
      </c>
      <c r="F392" s="47">
        <f>F393</f>
        <v>0</v>
      </c>
      <c r="G392" s="47">
        <f t="shared" ref="G392:I392" si="186">G393</f>
        <v>0</v>
      </c>
      <c r="H392" s="47">
        <f t="shared" si="186"/>
        <v>12.4</v>
      </c>
      <c r="I392" s="47">
        <f t="shared" si="186"/>
        <v>2.5</v>
      </c>
      <c r="J392" s="47">
        <f>J393</f>
        <v>0</v>
      </c>
      <c r="K392" s="261">
        <f t="shared" si="154"/>
        <v>14.9</v>
      </c>
      <c r="L392" s="222"/>
      <c r="M392" s="50"/>
      <c r="N392" s="56"/>
      <c r="O392" s="788" t="s">
        <v>228</v>
      </c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6"/>
    </row>
    <row r="393" spans="1:57" s="48" customFormat="1" ht="93" customHeight="1" x14ac:dyDescent="0.2">
      <c r="A393" s="632"/>
      <c r="B393" s="632"/>
      <c r="C393" s="847"/>
      <c r="D393" s="46">
        <v>2019</v>
      </c>
      <c r="E393" s="188">
        <f>F393+G393+H393+I393+J393</f>
        <v>14.9</v>
      </c>
      <c r="F393" s="188">
        <v>0</v>
      </c>
      <c r="G393" s="188">
        <v>0</v>
      </c>
      <c r="H393" s="188">
        <v>12.4</v>
      </c>
      <c r="I393" s="188">
        <v>2.5</v>
      </c>
      <c r="J393" s="188">
        <v>0</v>
      </c>
      <c r="K393" s="261">
        <f t="shared" si="154"/>
        <v>14.9</v>
      </c>
      <c r="L393" s="222"/>
      <c r="M393" s="50"/>
      <c r="N393" s="56"/>
      <c r="O393" s="790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  <c r="AA393" s="223"/>
      <c r="AB393" s="223"/>
      <c r="AC393" s="223"/>
      <c r="AD393" s="223"/>
      <c r="AE393" s="223"/>
      <c r="AF393" s="223"/>
      <c r="AG393" s="223"/>
      <c r="AH393" s="223"/>
      <c r="AI393" s="223"/>
      <c r="AJ393" s="223"/>
      <c r="AK393" s="223"/>
      <c r="AL393" s="223"/>
      <c r="AM393" s="223"/>
      <c r="AN393" s="223"/>
      <c r="AO393" s="223"/>
      <c r="AP393" s="223"/>
      <c r="AQ393" s="223"/>
      <c r="AR393" s="223"/>
      <c r="AS393" s="223"/>
      <c r="AT393" s="223"/>
      <c r="AU393" s="223"/>
      <c r="AV393" s="223"/>
      <c r="AW393" s="223"/>
      <c r="AX393" s="223"/>
      <c r="AY393" s="223"/>
      <c r="AZ393" s="223"/>
      <c r="BA393" s="223"/>
      <c r="BB393" s="223"/>
      <c r="BC393" s="223"/>
      <c r="BD393" s="223"/>
      <c r="BE393" s="66"/>
    </row>
    <row r="394" spans="1:57" s="226" customFormat="1" ht="33" customHeight="1" x14ac:dyDescent="0.2">
      <c r="A394" s="170" t="s">
        <v>803</v>
      </c>
      <c r="B394" s="171" t="s">
        <v>811</v>
      </c>
      <c r="C394" s="705" t="s">
        <v>396</v>
      </c>
      <c r="D394" s="59" t="s">
        <v>198</v>
      </c>
      <c r="E394" s="96">
        <f>E395</f>
        <v>1.4875</v>
      </c>
      <c r="F394" s="96">
        <f t="shared" ref="F394:J394" si="187">F395</f>
        <v>0</v>
      </c>
      <c r="G394" s="96">
        <f t="shared" si="187"/>
        <v>0</v>
      </c>
      <c r="H394" s="96">
        <f t="shared" si="187"/>
        <v>1.4125000000000001</v>
      </c>
      <c r="I394" s="96">
        <f t="shared" si="187"/>
        <v>0</v>
      </c>
      <c r="J394" s="96">
        <f t="shared" si="187"/>
        <v>7.4999999999999997E-2</v>
      </c>
      <c r="K394" s="261">
        <f t="shared" si="154"/>
        <v>1.4875</v>
      </c>
      <c r="L394" s="842" t="s">
        <v>511</v>
      </c>
      <c r="M394" s="198"/>
      <c r="N394" s="279"/>
      <c r="O394" s="788" t="s">
        <v>236</v>
      </c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225"/>
    </row>
    <row r="395" spans="1:57" s="226" customFormat="1" x14ac:dyDescent="0.2">
      <c r="A395" s="171"/>
      <c r="B395" s="171"/>
      <c r="C395" s="706"/>
      <c r="D395" s="141">
        <v>2021</v>
      </c>
      <c r="E395" s="146">
        <f>F395+G395+H395+I395+J395</f>
        <v>1.4875</v>
      </c>
      <c r="F395" s="146">
        <v>0</v>
      </c>
      <c r="G395" s="146">
        <v>0</v>
      </c>
      <c r="H395" s="146">
        <v>1.4125000000000001</v>
      </c>
      <c r="I395" s="146">
        <v>0</v>
      </c>
      <c r="J395" s="146">
        <v>7.4999999999999997E-2</v>
      </c>
      <c r="K395" s="261">
        <f t="shared" si="154"/>
        <v>1.4875</v>
      </c>
      <c r="L395" s="844"/>
      <c r="M395" s="198"/>
      <c r="N395" s="279"/>
      <c r="O395" s="790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225"/>
    </row>
    <row r="396" spans="1:57" s="226" customFormat="1" ht="18.75" customHeight="1" x14ac:dyDescent="0.2">
      <c r="A396" s="670" t="s">
        <v>898</v>
      </c>
      <c r="B396" s="631" t="s">
        <v>899</v>
      </c>
      <c r="C396" s="631" t="s">
        <v>393</v>
      </c>
      <c r="D396" s="46" t="s">
        <v>198</v>
      </c>
      <c r="E396" s="96">
        <f>E397</f>
        <v>3.8</v>
      </c>
      <c r="F396" s="96">
        <f t="shared" ref="F396:J396" si="188">F397</f>
        <v>0</v>
      </c>
      <c r="G396" s="96">
        <f t="shared" si="188"/>
        <v>0</v>
      </c>
      <c r="H396" s="96">
        <f t="shared" si="188"/>
        <v>3.61</v>
      </c>
      <c r="I396" s="96">
        <f t="shared" si="188"/>
        <v>0</v>
      </c>
      <c r="J396" s="96">
        <f t="shared" si="188"/>
        <v>0.19</v>
      </c>
      <c r="K396" s="261">
        <f t="shared" si="154"/>
        <v>3.8</v>
      </c>
      <c r="L396" s="224"/>
      <c r="M396" s="198"/>
      <c r="N396" s="279"/>
      <c r="O396" s="695" t="s">
        <v>900</v>
      </c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225"/>
    </row>
    <row r="397" spans="1:57" s="226" customFormat="1" ht="35.25" customHeight="1" x14ac:dyDescent="0.2">
      <c r="A397" s="672"/>
      <c r="B397" s="632"/>
      <c r="C397" s="702"/>
      <c r="D397" s="189">
        <v>2020</v>
      </c>
      <c r="E397" s="146">
        <f>F397+G397+H397+I397+J397</f>
        <v>3.8</v>
      </c>
      <c r="F397" s="146">
        <v>0</v>
      </c>
      <c r="G397" s="146">
        <v>0</v>
      </c>
      <c r="H397" s="146">
        <v>3.61</v>
      </c>
      <c r="I397" s="146">
        <v>0</v>
      </c>
      <c r="J397" s="146">
        <v>0.19</v>
      </c>
      <c r="K397" s="261">
        <f t="shared" ref="K397:K460" si="189">F397+G397+H397+I397+J397</f>
        <v>3.8</v>
      </c>
      <c r="L397" s="224"/>
      <c r="M397" s="198"/>
      <c r="N397" s="279"/>
      <c r="O397" s="696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225"/>
    </row>
    <row r="398" spans="1:57" s="226" customFormat="1" x14ac:dyDescent="0.2">
      <c r="A398" s="670" t="s">
        <v>1040</v>
      </c>
      <c r="B398" s="171"/>
      <c r="C398" s="250"/>
      <c r="D398" s="46" t="s">
        <v>198</v>
      </c>
      <c r="E398" s="146">
        <f>E399</f>
        <v>130</v>
      </c>
      <c r="F398" s="146">
        <f t="shared" ref="F398:J398" si="190">F399</f>
        <v>16.899999999999999</v>
      </c>
      <c r="G398" s="146">
        <f t="shared" si="190"/>
        <v>0</v>
      </c>
      <c r="H398" s="146">
        <f t="shared" si="190"/>
        <v>113.1</v>
      </c>
      <c r="I398" s="146">
        <f t="shared" si="190"/>
        <v>0</v>
      </c>
      <c r="J398" s="146">
        <f t="shared" si="190"/>
        <v>0</v>
      </c>
      <c r="K398" s="261">
        <f t="shared" si="189"/>
        <v>130</v>
      </c>
      <c r="L398" s="224"/>
      <c r="M398" s="198"/>
      <c r="N398" s="279"/>
      <c r="O398" s="695" t="s">
        <v>852</v>
      </c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225"/>
    </row>
    <row r="399" spans="1:57" s="226" customFormat="1" ht="51" x14ac:dyDescent="0.2">
      <c r="A399" s="672"/>
      <c r="B399" s="171" t="s">
        <v>1043</v>
      </c>
      <c r="C399" s="171" t="s">
        <v>393</v>
      </c>
      <c r="D399" s="189">
        <v>2021</v>
      </c>
      <c r="E399" s="146">
        <f t="shared" ref="E399" si="191">F399+G399+H399+I399+J399</f>
        <v>130</v>
      </c>
      <c r="F399" s="146">
        <v>16.899999999999999</v>
      </c>
      <c r="G399" s="146">
        <v>0</v>
      </c>
      <c r="H399" s="146">
        <v>113.1</v>
      </c>
      <c r="I399" s="146">
        <v>0</v>
      </c>
      <c r="J399" s="146">
        <v>0</v>
      </c>
      <c r="K399" s="261">
        <f t="shared" si="189"/>
        <v>130</v>
      </c>
      <c r="L399" s="224"/>
      <c r="M399" s="198"/>
      <c r="N399" s="279"/>
      <c r="O399" s="696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225"/>
    </row>
    <row r="400" spans="1:57" s="226" customFormat="1" x14ac:dyDescent="0.2">
      <c r="A400" s="731" t="s">
        <v>387</v>
      </c>
      <c r="B400" s="649" t="s">
        <v>205</v>
      </c>
      <c r="C400" s="649"/>
      <c r="D400" s="59" t="s">
        <v>198</v>
      </c>
      <c r="E400" s="162">
        <f t="shared" ref="E400:J400" si="192">SUM(E401:E406)</f>
        <v>49.351000000000006</v>
      </c>
      <c r="F400" s="162">
        <f t="shared" si="192"/>
        <v>16.106100000000001</v>
      </c>
      <c r="G400" s="162">
        <f t="shared" si="192"/>
        <v>8.366200000000001</v>
      </c>
      <c r="H400" s="162">
        <f t="shared" si="192"/>
        <v>11.213700000000001</v>
      </c>
      <c r="I400" s="162">
        <f t="shared" si="192"/>
        <v>9.9450000000000003</v>
      </c>
      <c r="J400" s="162">
        <f t="shared" si="192"/>
        <v>3.72</v>
      </c>
      <c r="K400" s="261">
        <f t="shared" si="189"/>
        <v>49.351000000000006</v>
      </c>
      <c r="L400" s="55"/>
      <c r="M400" s="198"/>
      <c r="N400" s="199"/>
      <c r="O400" s="840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225"/>
    </row>
    <row r="401" spans="1:57" s="48" customFormat="1" x14ac:dyDescent="0.2">
      <c r="A401" s="782"/>
      <c r="B401" s="701"/>
      <c r="C401" s="701"/>
      <c r="D401" s="46">
        <v>2019</v>
      </c>
      <c r="E401" s="47">
        <f>E409+E417+E420</f>
        <v>28.333600000000001</v>
      </c>
      <c r="F401" s="47">
        <f>F409+F417+F420</f>
        <v>2.6870000000000003</v>
      </c>
      <c r="G401" s="47">
        <f>G409+G417+G420</f>
        <v>5.9143000000000008</v>
      </c>
      <c r="H401" s="47">
        <f>H409+H417+H420</f>
        <v>7.9273000000000007</v>
      </c>
      <c r="I401" s="47">
        <f>I409+I417+I420</f>
        <v>9.9450000000000003</v>
      </c>
      <c r="J401" s="47">
        <f t="shared" ref="F401:J402" si="193">J409+J417+J420</f>
        <v>1.86</v>
      </c>
      <c r="K401" s="261">
        <f t="shared" si="189"/>
        <v>28.333600000000004</v>
      </c>
      <c r="L401" s="52"/>
      <c r="M401" s="50"/>
      <c r="N401" s="51"/>
      <c r="O401" s="841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6"/>
    </row>
    <row r="402" spans="1:57" s="48" customFormat="1" x14ac:dyDescent="0.2">
      <c r="A402" s="782"/>
      <c r="B402" s="701"/>
      <c r="C402" s="701"/>
      <c r="D402" s="46">
        <v>2020</v>
      </c>
      <c r="E402" s="47">
        <f>E410+E418+E421</f>
        <v>10.2773</v>
      </c>
      <c r="F402" s="47">
        <f t="shared" si="193"/>
        <v>2.6790000000000003</v>
      </c>
      <c r="G402" s="47">
        <f t="shared" si="193"/>
        <v>2.4519000000000002</v>
      </c>
      <c r="H402" s="47">
        <f t="shared" si="193"/>
        <v>3.2864</v>
      </c>
      <c r="I402" s="47">
        <f t="shared" si="193"/>
        <v>0</v>
      </c>
      <c r="J402" s="47">
        <f t="shared" si="193"/>
        <v>1.86</v>
      </c>
      <c r="K402" s="261">
        <f t="shared" si="189"/>
        <v>10.2773</v>
      </c>
      <c r="L402" s="52"/>
      <c r="M402" s="50"/>
      <c r="N402" s="51"/>
      <c r="O402" s="841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6"/>
    </row>
    <row r="403" spans="1:57" s="48" customFormat="1" x14ac:dyDescent="0.2">
      <c r="A403" s="782"/>
      <c r="B403" s="701"/>
      <c r="C403" s="701"/>
      <c r="D403" s="46">
        <v>2021</v>
      </c>
      <c r="E403" s="47">
        <f t="shared" ref="E403:J404" si="194">E411+E422</f>
        <v>2.68</v>
      </c>
      <c r="F403" s="47">
        <f t="shared" si="194"/>
        <v>2.68</v>
      </c>
      <c r="G403" s="47">
        <f t="shared" si="194"/>
        <v>0</v>
      </c>
      <c r="H403" s="47">
        <f t="shared" si="194"/>
        <v>0</v>
      </c>
      <c r="I403" s="47">
        <f t="shared" si="194"/>
        <v>0</v>
      </c>
      <c r="J403" s="47">
        <f t="shared" si="194"/>
        <v>0</v>
      </c>
      <c r="K403" s="261">
        <f t="shared" si="189"/>
        <v>2.68</v>
      </c>
      <c r="L403" s="52"/>
      <c r="M403" s="50"/>
      <c r="N403" s="51"/>
      <c r="O403" s="841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6"/>
    </row>
    <row r="404" spans="1:57" s="48" customFormat="1" x14ac:dyDescent="0.2">
      <c r="A404" s="782"/>
      <c r="B404" s="701"/>
      <c r="C404" s="701"/>
      <c r="D404" s="46">
        <v>2022</v>
      </c>
      <c r="E404" s="47">
        <f t="shared" si="194"/>
        <v>2.68</v>
      </c>
      <c r="F404" s="47">
        <f t="shared" si="194"/>
        <v>2.68</v>
      </c>
      <c r="G404" s="47">
        <f t="shared" si="194"/>
        <v>0</v>
      </c>
      <c r="H404" s="47">
        <f t="shared" si="194"/>
        <v>0</v>
      </c>
      <c r="I404" s="47">
        <f t="shared" si="194"/>
        <v>0</v>
      </c>
      <c r="J404" s="47">
        <f t="shared" si="194"/>
        <v>0</v>
      </c>
      <c r="K404" s="261">
        <f t="shared" si="189"/>
        <v>2.68</v>
      </c>
      <c r="L404" s="52"/>
      <c r="M404" s="50"/>
      <c r="N404" s="51"/>
      <c r="O404" s="841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6"/>
    </row>
    <row r="405" spans="1:57" s="48" customFormat="1" x14ac:dyDescent="0.2">
      <c r="A405" s="782"/>
      <c r="B405" s="701"/>
      <c r="C405" s="701"/>
      <c r="D405" s="46">
        <v>2023</v>
      </c>
      <c r="E405" s="47">
        <f>E413+E424</f>
        <v>2.6893000000000002</v>
      </c>
      <c r="F405" s="47">
        <f t="shared" ref="F405:I405" si="195">F413+F424</f>
        <v>2.6893000000000002</v>
      </c>
      <c r="G405" s="47">
        <f t="shared" si="195"/>
        <v>0</v>
      </c>
      <c r="H405" s="47">
        <f t="shared" si="195"/>
        <v>0</v>
      </c>
      <c r="I405" s="47">
        <f t="shared" si="195"/>
        <v>0</v>
      </c>
      <c r="J405" s="47">
        <f t="shared" ref="J405" si="196">J413</f>
        <v>0</v>
      </c>
      <c r="K405" s="261">
        <f t="shared" si="189"/>
        <v>2.6893000000000002</v>
      </c>
      <c r="L405" s="52"/>
      <c r="M405" s="50"/>
      <c r="N405" s="51"/>
      <c r="O405" s="841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6"/>
    </row>
    <row r="406" spans="1:57" s="48" customFormat="1" x14ac:dyDescent="0.2">
      <c r="A406" s="782"/>
      <c r="B406" s="701"/>
      <c r="C406" s="701"/>
      <c r="D406" s="46">
        <v>2024</v>
      </c>
      <c r="E406" s="47">
        <f>E414+E425</f>
        <v>2.6908000000000003</v>
      </c>
      <c r="F406" s="47">
        <f t="shared" ref="F406:J407" si="197">F414+F425</f>
        <v>2.6908000000000003</v>
      </c>
      <c r="G406" s="47">
        <f t="shared" si="197"/>
        <v>0</v>
      </c>
      <c r="H406" s="47">
        <f t="shared" si="197"/>
        <v>0</v>
      </c>
      <c r="I406" s="47">
        <f t="shared" si="197"/>
        <v>0</v>
      </c>
      <c r="J406" s="47">
        <f t="shared" si="197"/>
        <v>0</v>
      </c>
      <c r="K406" s="261">
        <f t="shared" si="189"/>
        <v>2.6908000000000003</v>
      </c>
      <c r="L406" s="52"/>
      <c r="M406" s="50"/>
      <c r="N406" s="51"/>
      <c r="O406" s="841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6"/>
    </row>
    <row r="407" spans="1:57" s="48" customFormat="1" ht="15.75" x14ac:dyDescent="0.2">
      <c r="A407" s="195"/>
      <c r="B407" s="250"/>
      <c r="C407" s="250"/>
      <c r="D407" s="46">
        <v>2025</v>
      </c>
      <c r="E407" s="47">
        <f>E415+E426</f>
        <v>2.6923000000000004</v>
      </c>
      <c r="F407" s="47">
        <f t="shared" si="197"/>
        <v>2.6923000000000004</v>
      </c>
      <c r="G407" s="47">
        <f t="shared" si="197"/>
        <v>0</v>
      </c>
      <c r="H407" s="47">
        <f t="shared" si="197"/>
        <v>0</v>
      </c>
      <c r="I407" s="47">
        <f t="shared" si="197"/>
        <v>0</v>
      </c>
      <c r="J407" s="47">
        <f t="shared" si="197"/>
        <v>0</v>
      </c>
      <c r="K407" s="261">
        <f t="shared" si="189"/>
        <v>2.6923000000000004</v>
      </c>
      <c r="L407" s="52"/>
      <c r="M407" s="50"/>
      <c r="N407" s="51"/>
      <c r="O407" s="227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6"/>
    </row>
    <row r="408" spans="1:57" s="48" customFormat="1" ht="12.75" customHeight="1" x14ac:dyDescent="0.2">
      <c r="A408" s="697" t="s">
        <v>388</v>
      </c>
      <c r="B408" s="631" t="s">
        <v>416</v>
      </c>
      <c r="C408" s="631" t="s">
        <v>893</v>
      </c>
      <c r="D408" s="46" t="s">
        <v>198</v>
      </c>
      <c r="E408" s="218">
        <f>E409+E410+E411+E412+E413+E414+E415</f>
        <v>36.612300000000005</v>
      </c>
      <c r="F408" s="218">
        <f t="shared" ref="F408:J408" si="198">F409+F410+F411+F412+F413+F414+F415</f>
        <v>18.564000000000004</v>
      </c>
      <c r="G408" s="218">
        <f t="shared" si="198"/>
        <v>3.4624000000000001</v>
      </c>
      <c r="H408" s="218">
        <f t="shared" si="198"/>
        <v>4.6409000000000002</v>
      </c>
      <c r="I408" s="218">
        <f t="shared" si="198"/>
        <v>9.9450000000000003</v>
      </c>
      <c r="J408" s="218">
        <f t="shared" si="198"/>
        <v>0</v>
      </c>
      <c r="K408" s="261">
        <f t="shared" si="189"/>
        <v>36.612300000000005</v>
      </c>
      <c r="L408" s="52"/>
      <c r="M408" s="50"/>
      <c r="N408" s="51"/>
      <c r="O408" s="746" t="s">
        <v>230</v>
      </c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6"/>
    </row>
    <row r="409" spans="1:57" s="330" customFormat="1" x14ac:dyDescent="0.2">
      <c r="A409" s="717"/>
      <c r="B409" s="701"/>
      <c r="C409" s="701"/>
      <c r="D409" s="331">
        <v>2019</v>
      </c>
      <c r="E409" s="332">
        <f>F409+G409+H409+I409+J409</f>
        <v>20.700299999999999</v>
      </c>
      <c r="F409" s="332">
        <f>2652/1000</f>
        <v>2.6520000000000001</v>
      </c>
      <c r="G409" s="332">
        <v>3.4624000000000001</v>
      </c>
      <c r="H409" s="332">
        <v>4.6409000000000002</v>
      </c>
      <c r="I409" s="332">
        <v>9.9450000000000003</v>
      </c>
      <c r="J409" s="420">
        <v>0</v>
      </c>
      <c r="K409" s="325">
        <f t="shared" si="189"/>
        <v>20.700299999999999</v>
      </c>
      <c r="L409" s="372"/>
      <c r="M409" s="326"/>
      <c r="N409" s="327"/>
      <c r="O409" s="747"/>
      <c r="P409" s="328"/>
      <c r="Q409" s="328"/>
      <c r="R409" s="328"/>
      <c r="S409" s="328"/>
      <c r="T409" s="328"/>
      <c r="U409" s="328"/>
      <c r="V409" s="328"/>
      <c r="W409" s="328"/>
      <c r="X409" s="328"/>
      <c r="Y409" s="328"/>
      <c r="Z409" s="328"/>
      <c r="AA409" s="328"/>
      <c r="AB409" s="328"/>
      <c r="AC409" s="328"/>
      <c r="AD409" s="328"/>
      <c r="AE409" s="328"/>
      <c r="AF409" s="328"/>
      <c r="AG409" s="328"/>
      <c r="AH409" s="328"/>
      <c r="AI409" s="328"/>
      <c r="AJ409" s="328"/>
      <c r="AK409" s="328"/>
      <c r="AL409" s="328"/>
      <c r="AM409" s="328"/>
      <c r="AN409" s="328"/>
      <c r="AO409" s="328"/>
      <c r="AP409" s="328"/>
      <c r="AQ409" s="328"/>
      <c r="AR409" s="328"/>
      <c r="AS409" s="328"/>
      <c r="AT409" s="328"/>
      <c r="AU409" s="328"/>
      <c r="AV409" s="328"/>
      <c r="AW409" s="328"/>
      <c r="AX409" s="328"/>
      <c r="AY409" s="328"/>
      <c r="AZ409" s="328"/>
      <c r="BA409" s="328"/>
      <c r="BB409" s="328"/>
      <c r="BC409" s="328"/>
      <c r="BD409" s="328"/>
      <c r="BE409" s="329"/>
    </row>
    <row r="410" spans="1:57" s="330" customFormat="1" ht="12.75" customHeight="1" x14ac:dyDescent="0.2">
      <c r="A410" s="717"/>
      <c r="B410" s="701"/>
      <c r="C410" s="728"/>
      <c r="D410" s="331">
        <v>2020</v>
      </c>
      <c r="E410" s="332">
        <f>F410+G410+H410+I410+J410</f>
        <v>2.6520000000000001</v>
      </c>
      <c r="F410" s="332">
        <f t="shared" ref="F410:F415" si="199">2652/1000</f>
        <v>2.6520000000000001</v>
      </c>
      <c r="G410" s="332">
        <v>0</v>
      </c>
      <c r="H410" s="332">
        <v>0</v>
      </c>
      <c r="I410" s="332">
        <v>0</v>
      </c>
      <c r="J410" s="420">
        <v>0</v>
      </c>
      <c r="K410" s="325">
        <f t="shared" si="189"/>
        <v>2.6520000000000001</v>
      </c>
      <c r="L410" s="372"/>
      <c r="M410" s="326"/>
      <c r="N410" s="327"/>
      <c r="O410" s="701"/>
      <c r="P410" s="328"/>
      <c r="Q410" s="328"/>
      <c r="R410" s="328"/>
      <c r="S410" s="328"/>
      <c r="T410" s="328"/>
      <c r="U410" s="328"/>
      <c r="V410" s="328"/>
      <c r="W410" s="328"/>
      <c r="X410" s="328"/>
      <c r="Y410" s="328"/>
      <c r="Z410" s="328"/>
      <c r="AA410" s="328"/>
      <c r="AB410" s="328"/>
      <c r="AC410" s="328"/>
      <c r="AD410" s="328"/>
      <c r="AE410" s="328"/>
      <c r="AF410" s="328"/>
      <c r="AG410" s="328"/>
      <c r="AH410" s="328"/>
      <c r="AI410" s="328"/>
      <c r="AJ410" s="328"/>
      <c r="AK410" s="328"/>
      <c r="AL410" s="328"/>
      <c r="AM410" s="328"/>
      <c r="AN410" s="328"/>
      <c r="AO410" s="328"/>
      <c r="AP410" s="328"/>
      <c r="AQ410" s="328"/>
      <c r="AR410" s="328"/>
      <c r="AS410" s="328"/>
      <c r="AT410" s="328"/>
      <c r="AU410" s="328"/>
      <c r="AV410" s="328"/>
      <c r="AW410" s="328"/>
      <c r="AX410" s="328"/>
      <c r="AY410" s="328"/>
      <c r="AZ410" s="328"/>
      <c r="BA410" s="328"/>
      <c r="BB410" s="328"/>
      <c r="BC410" s="328"/>
      <c r="BD410" s="328"/>
      <c r="BE410" s="329"/>
    </row>
    <row r="411" spans="1:57" s="330" customFormat="1" ht="15.75" customHeight="1" x14ac:dyDescent="0.2">
      <c r="A411" s="717"/>
      <c r="B411" s="701"/>
      <c r="C411" s="729"/>
      <c r="D411" s="331">
        <v>2021</v>
      </c>
      <c r="E411" s="332">
        <f t="shared" ref="E411:E415" si="200">F411+G411+H411+I411+J411</f>
        <v>2.6520000000000001</v>
      </c>
      <c r="F411" s="332">
        <f t="shared" si="199"/>
        <v>2.6520000000000001</v>
      </c>
      <c r="G411" s="332">
        <v>0</v>
      </c>
      <c r="H411" s="332">
        <v>0</v>
      </c>
      <c r="I411" s="332">
        <v>0</v>
      </c>
      <c r="J411" s="420">
        <v>0</v>
      </c>
      <c r="K411" s="325">
        <f t="shared" si="189"/>
        <v>2.6520000000000001</v>
      </c>
      <c r="L411" s="372"/>
      <c r="M411" s="326"/>
      <c r="N411" s="327"/>
      <c r="O411" s="701"/>
      <c r="P411" s="328"/>
      <c r="Q411" s="328"/>
      <c r="R411" s="328"/>
      <c r="S411" s="328"/>
      <c r="T411" s="328"/>
      <c r="U411" s="328"/>
      <c r="V411" s="328"/>
      <c r="W411" s="328"/>
      <c r="X411" s="328"/>
      <c r="Y411" s="328"/>
      <c r="Z411" s="328"/>
      <c r="AA411" s="328"/>
      <c r="AB411" s="328"/>
      <c r="AC411" s="328"/>
      <c r="AD411" s="328"/>
      <c r="AE411" s="328"/>
      <c r="AF411" s="328"/>
      <c r="AG411" s="328"/>
      <c r="AH411" s="328"/>
      <c r="AI411" s="328"/>
      <c r="AJ411" s="328"/>
      <c r="AK411" s="328"/>
      <c r="AL411" s="328"/>
      <c r="AM411" s="328"/>
      <c r="AN411" s="328"/>
      <c r="AO411" s="328"/>
      <c r="AP411" s="328"/>
      <c r="AQ411" s="328"/>
      <c r="AR411" s="328"/>
      <c r="AS411" s="328"/>
      <c r="AT411" s="328"/>
      <c r="AU411" s="328"/>
      <c r="AV411" s="328"/>
      <c r="AW411" s="328"/>
      <c r="AX411" s="328"/>
      <c r="AY411" s="328"/>
      <c r="AZ411" s="328"/>
      <c r="BA411" s="328"/>
      <c r="BB411" s="328"/>
      <c r="BC411" s="328"/>
      <c r="BD411" s="328"/>
      <c r="BE411" s="329"/>
    </row>
    <row r="412" spans="1:57" s="330" customFormat="1" x14ac:dyDescent="0.2">
      <c r="A412" s="717"/>
      <c r="B412" s="701"/>
      <c r="C412" s="729"/>
      <c r="D412" s="331">
        <v>2022</v>
      </c>
      <c r="E412" s="332">
        <f t="shared" si="200"/>
        <v>2.6520000000000001</v>
      </c>
      <c r="F412" s="332">
        <f t="shared" si="199"/>
        <v>2.6520000000000001</v>
      </c>
      <c r="G412" s="332">
        <v>0</v>
      </c>
      <c r="H412" s="332">
        <v>0</v>
      </c>
      <c r="I412" s="332">
        <v>0</v>
      </c>
      <c r="J412" s="420">
        <v>0</v>
      </c>
      <c r="K412" s="325">
        <f t="shared" si="189"/>
        <v>2.6520000000000001</v>
      </c>
      <c r="L412" s="372"/>
      <c r="M412" s="326"/>
      <c r="N412" s="327"/>
      <c r="O412" s="701"/>
      <c r="P412" s="328"/>
      <c r="Q412" s="328"/>
      <c r="R412" s="328"/>
      <c r="S412" s="328"/>
      <c r="T412" s="328"/>
      <c r="U412" s="328"/>
      <c r="V412" s="328"/>
      <c r="W412" s="328"/>
      <c r="X412" s="328"/>
      <c r="Y412" s="328"/>
      <c r="Z412" s="328"/>
      <c r="AA412" s="328"/>
      <c r="AB412" s="328"/>
      <c r="AC412" s="328"/>
      <c r="AD412" s="328"/>
      <c r="AE412" s="328"/>
      <c r="AF412" s="328"/>
      <c r="AG412" s="328"/>
      <c r="AH412" s="328"/>
      <c r="AI412" s="328"/>
      <c r="AJ412" s="328"/>
      <c r="AK412" s="328"/>
      <c r="AL412" s="328"/>
      <c r="AM412" s="328"/>
      <c r="AN412" s="328"/>
      <c r="AO412" s="328"/>
      <c r="AP412" s="328"/>
      <c r="AQ412" s="328"/>
      <c r="AR412" s="328"/>
      <c r="AS412" s="328"/>
      <c r="AT412" s="328"/>
      <c r="AU412" s="328"/>
      <c r="AV412" s="328"/>
      <c r="AW412" s="328"/>
      <c r="AX412" s="328"/>
      <c r="AY412" s="328"/>
      <c r="AZ412" s="328"/>
      <c r="BA412" s="328"/>
      <c r="BB412" s="328"/>
      <c r="BC412" s="328"/>
      <c r="BD412" s="328"/>
      <c r="BE412" s="329"/>
    </row>
    <row r="413" spans="1:57" s="48" customFormat="1" x14ac:dyDescent="0.2">
      <c r="A413" s="717"/>
      <c r="B413" s="701"/>
      <c r="C413" s="729"/>
      <c r="D413" s="189">
        <v>2023</v>
      </c>
      <c r="E413" s="188">
        <f t="shared" si="200"/>
        <v>2.6520000000000001</v>
      </c>
      <c r="F413" s="188">
        <f t="shared" si="199"/>
        <v>2.6520000000000001</v>
      </c>
      <c r="G413" s="188">
        <v>0</v>
      </c>
      <c r="H413" s="188">
        <v>0</v>
      </c>
      <c r="I413" s="188">
        <v>0</v>
      </c>
      <c r="J413" s="228">
        <v>0</v>
      </c>
      <c r="K413" s="261">
        <f t="shared" si="189"/>
        <v>2.6520000000000001</v>
      </c>
      <c r="L413" s="53"/>
      <c r="M413" s="50"/>
      <c r="N413" s="51"/>
      <c r="O413" s="701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6"/>
    </row>
    <row r="414" spans="1:57" s="48" customFormat="1" x14ac:dyDescent="0.2">
      <c r="A414" s="717"/>
      <c r="B414" s="701"/>
      <c r="C414" s="729"/>
      <c r="D414" s="189">
        <v>2024</v>
      </c>
      <c r="E414" s="188">
        <f>F414+G414+H414+I414+J414</f>
        <v>2.6520000000000001</v>
      </c>
      <c r="F414" s="188">
        <f t="shared" si="199"/>
        <v>2.6520000000000001</v>
      </c>
      <c r="G414" s="188">
        <v>0</v>
      </c>
      <c r="H414" s="188">
        <v>0</v>
      </c>
      <c r="I414" s="188">
        <v>0</v>
      </c>
      <c r="J414" s="228">
        <v>0</v>
      </c>
      <c r="K414" s="261">
        <f t="shared" si="189"/>
        <v>2.6520000000000001</v>
      </c>
      <c r="L414" s="53"/>
      <c r="M414" s="50"/>
      <c r="N414" s="51"/>
      <c r="O414" s="701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6"/>
    </row>
    <row r="415" spans="1:57" s="48" customFormat="1" x14ac:dyDescent="0.2">
      <c r="A415" s="164"/>
      <c r="B415" s="250"/>
      <c r="C415" s="742"/>
      <c r="D415" s="189">
        <v>2025</v>
      </c>
      <c r="E415" s="188">
        <f t="shared" si="200"/>
        <v>2.6520000000000001</v>
      </c>
      <c r="F415" s="188">
        <f t="shared" si="199"/>
        <v>2.6520000000000001</v>
      </c>
      <c r="G415" s="188">
        <v>0</v>
      </c>
      <c r="H415" s="188">
        <v>0</v>
      </c>
      <c r="I415" s="188">
        <v>0</v>
      </c>
      <c r="J415" s="228">
        <v>0</v>
      </c>
      <c r="K415" s="261">
        <f t="shared" si="189"/>
        <v>2.6520000000000001</v>
      </c>
      <c r="L415" s="53"/>
      <c r="M415" s="50"/>
      <c r="N415" s="51"/>
      <c r="O415" s="250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6"/>
    </row>
    <row r="416" spans="1:57" s="48" customFormat="1" ht="13.5" customHeight="1" x14ac:dyDescent="0.2">
      <c r="A416" s="665" t="s">
        <v>389</v>
      </c>
      <c r="B416" s="631" t="s">
        <v>417</v>
      </c>
      <c r="C416" s="169"/>
      <c r="D416" s="46" t="s">
        <v>198</v>
      </c>
      <c r="E416" s="218">
        <f>E417+E418</f>
        <v>15.196600000000002</v>
      </c>
      <c r="F416" s="218">
        <f t="shared" ref="F416:J416" si="201">F417+F418</f>
        <v>0</v>
      </c>
      <c r="G416" s="218">
        <f t="shared" si="201"/>
        <v>4.9038000000000004</v>
      </c>
      <c r="H416" s="218">
        <f t="shared" si="201"/>
        <v>6.5728</v>
      </c>
      <c r="I416" s="218">
        <f t="shared" si="201"/>
        <v>0</v>
      </c>
      <c r="J416" s="218">
        <f t="shared" si="201"/>
        <v>3.72</v>
      </c>
      <c r="K416" s="261">
        <f t="shared" si="189"/>
        <v>15.196600000000002</v>
      </c>
      <c r="L416" s="52"/>
      <c r="M416" s="50"/>
      <c r="N416" s="51"/>
      <c r="O416" s="765" t="s">
        <v>231</v>
      </c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6"/>
    </row>
    <row r="417" spans="1:57" s="48" customFormat="1" ht="25.5" customHeight="1" x14ac:dyDescent="0.2">
      <c r="A417" s="665"/>
      <c r="B417" s="648"/>
      <c r="C417" s="631" t="s">
        <v>891</v>
      </c>
      <c r="D417" s="189">
        <v>2019</v>
      </c>
      <c r="E417" s="188">
        <f>F417+G417+H417+I417+J417</f>
        <v>7.5983000000000009</v>
      </c>
      <c r="F417" s="188">
        <v>0</v>
      </c>
      <c r="G417" s="228">
        <v>2.4519000000000002</v>
      </c>
      <c r="H417" s="188">
        <v>3.2864</v>
      </c>
      <c r="I417" s="228">
        <v>0</v>
      </c>
      <c r="J417" s="228">
        <v>1.86</v>
      </c>
      <c r="K417" s="261">
        <f t="shared" si="189"/>
        <v>7.5983000000000009</v>
      </c>
      <c r="L417" s="52"/>
      <c r="M417" s="50"/>
      <c r="N417" s="51"/>
      <c r="O417" s="766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6"/>
    </row>
    <row r="418" spans="1:57" s="48" customFormat="1" ht="24.75" customHeight="1" x14ac:dyDescent="0.2">
      <c r="A418" s="665"/>
      <c r="B418" s="648"/>
      <c r="C418" s="632"/>
      <c r="D418" s="189">
        <v>2020</v>
      </c>
      <c r="E418" s="188">
        <f>F418+G418+H418+I418+J418</f>
        <v>7.5983000000000009</v>
      </c>
      <c r="F418" s="188">
        <v>0</v>
      </c>
      <c r="G418" s="228">
        <v>2.4519000000000002</v>
      </c>
      <c r="H418" s="188">
        <v>3.2864</v>
      </c>
      <c r="I418" s="228">
        <v>0</v>
      </c>
      <c r="J418" s="228">
        <v>1.86</v>
      </c>
      <c r="K418" s="261">
        <f t="shared" si="189"/>
        <v>7.5983000000000009</v>
      </c>
      <c r="L418" s="52"/>
      <c r="M418" s="50"/>
      <c r="N418" s="51"/>
      <c r="O418" s="816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6"/>
    </row>
    <row r="419" spans="1:57" s="48" customFormat="1" ht="22.5" customHeight="1" x14ac:dyDescent="0.2">
      <c r="A419" s="170" t="s">
        <v>836</v>
      </c>
      <c r="B419" s="837" t="s">
        <v>837</v>
      </c>
      <c r="C419" s="250"/>
      <c r="D419" s="46" t="s">
        <v>198</v>
      </c>
      <c r="E419" s="47">
        <f>E420+E421+E422+E423+E424+E425+E426</f>
        <v>0.2344</v>
      </c>
      <c r="F419" s="47">
        <f>F420+F421+F422+F423+F424+F425+F426</f>
        <v>0.2344</v>
      </c>
      <c r="G419" s="47">
        <f t="shared" ref="G419:J419" si="202">G420+G421+G422+G423+G424+G425+G426</f>
        <v>0</v>
      </c>
      <c r="H419" s="47">
        <f t="shared" si="202"/>
        <v>0</v>
      </c>
      <c r="I419" s="47">
        <f t="shared" si="202"/>
        <v>0</v>
      </c>
      <c r="J419" s="47">
        <f t="shared" si="202"/>
        <v>0</v>
      </c>
      <c r="K419" s="261">
        <f t="shared" si="189"/>
        <v>0.2344</v>
      </c>
      <c r="L419" s="52"/>
      <c r="M419" s="50"/>
      <c r="N419" s="51"/>
      <c r="O419" s="765" t="s">
        <v>230</v>
      </c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6"/>
    </row>
    <row r="420" spans="1:57" s="330" customFormat="1" ht="12" customHeight="1" x14ac:dyDescent="0.2">
      <c r="A420" s="442"/>
      <c r="B420" s="838"/>
      <c r="C420" s="443" t="s">
        <v>415</v>
      </c>
      <c r="D420" s="331">
        <v>2019</v>
      </c>
      <c r="E420" s="332">
        <f>F420+G420+H420+I420+J420</f>
        <v>3.5000000000000003E-2</v>
      </c>
      <c r="F420" s="332">
        <v>3.5000000000000003E-2</v>
      </c>
      <c r="G420" s="419">
        <v>0</v>
      </c>
      <c r="H420" s="332">
        <v>0</v>
      </c>
      <c r="I420" s="420">
        <v>0</v>
      </c>
      <c r="J420" s="420">
        <v>0</v>
      </c>
      <c r="K420" s="325">
        <f t="shared" si="189"/>
        <v>3.5000000000000003E-2</v>
      </c>
      <c r="L420" s="325"/>
      <c r="M420" s="326"/>
      <c r="N420" s="327"/>
      <c r="O420" s="766"/>
      <c r="P420" s="328"/>
      <c r="Q420" s="328"/>
      <c r="R420" s="328"/>
      <c r="S420" s="328"/>
      <c r="T420" s="328"/>
      <c r="U420" s="328"/>
      <c r="V420" s="328"/>
      <c r="W420" s="328"/>
      <c r="X420" s="328"/>
      <c r="Y420" s="328"/>
      <c r="Z420" s="328"/>
      <c r="AA420" s="328"/>
      <c r="AB420" s="328"/>
      <c r="AC420" s="328"/>
      <c r="AD420" s="328"/>
      <c r="AE420" s="328"/>
      <c r="AF420" s="328"/>
      <c r="AG420" s="328"/>
      <c r="AH420" s="328"/>
      <c r="AI420" s="328"/>
      <c r="AJ420" s="328"/>
      <c r="AK420" s="328"/>
      <c r="AL420" s="328"/>
      <c r="AM420" s="328"/>
      <c r="AN420" s="328"/>
      <c r="AO420" s="328"/>
      <c r="AP420" s="328"/>
      <c r="AQ420" s="328"/>
      <c r="AR420" s="328"/>
      <c r="AS420" s="328"/>
      <c r="AT420" s="328"/>
      <c r="AU420" s="328"/>
      <c r="AV420" s="328"/>
      <c r="AW420" s="328"/>
      <c r="AX420" s="328"/>
      <c r="AY420" s="328"/>
      <c r="AZ420" s="328"/>
      <c r="BA420" s="328"/>
      <c r="BB420" s="328"/>
      <c r="BC420" s="328"/>
      <c r="BD420" s="328"/>
      <c r="BE420" s="329"/>
    </row>
    <row r="421" spans="1:57" s="330" customFormat="1" x14ac:dyDescent="0.2">
      <c r="A421" s="442"/>
      <c r="B421" s="838"/>
      <c r="C421" s="678" t="s">
        <v>892</v>
      </c>
      <c r="D421" s="331">
        <v>2020</v>
      </c>
      <c r="E421" s="332">
        <f t="shared" ref="E421" si="203">F421+G421+H421+I421+J421</f>
        <v>2.7E-2</v>
      </c>
      <c r="F421" s="332">
        <v>2.7E-2</v>
      </c>
      <c r="G421" s="419">
        <v>0</v>
      </c>
      <c r="H421" s="332">
        <v>0</v>
      </c>
      <c r="I421" s="420">
        <v>0</v>
      </c>
      <c r="J421" s="420">
        <v>0</v>
      </c>
      <c r="K421" s="325">
        <f t="shared" si="189"/>
        <v>2.7E-2</v>
      </c>
      <c r="L421" s="325"/>
      <c r="M421" s="326"/>
      <c r="N421" s="327"/>
      <c r="O421" s="766"/>
      <c r="P421" s="328"/>
      <c r="Q421" s="328"/>
      <c r="R421" s="328"/>
      <c r="S421" s="328"/>
      <c r="T421" s="328"/>
      <c r="U421" s="328"/>
      <c r="V421" s="328"/>
      <c r="W421" s="328"/>
      <c r="X421" s="328"/>
      <c r="Y421" s="328"/>
      <c r="Z421" s="328"/>
      <c r="AA421" s="328"/>
      <c r="AB421" s="328"/>
      <c r="AC421" s="328"/>
      <c r="AD421" s="328"/>
      <c r="AE421" s="328"/>
      <c r="AF421" s="328"/>
      <c r="AG421" s="328"/>
      <c r="AH421" s="328"/>
      <c r="AI421" s="328"/>
      <c r="AJ421" s="328"/>
      <c r="AK421" s="328"/>
      <c r="AL421" s="328"/>
      <c r="AM421" s="328"/>
      <c r="AN421" s="328"/>
      <c r="AO421" s="328"/>
      <c r="AP421" s="328"/>
      <c r="AQ421" s="328"/>
      <c r="AR421" s="328"/>
      <c r="AS421" s="328"/>
      <c r="AT421" s="328"/>
      <c r="AU421" s="328"/>
      <c r="AV421" s="328"/>
      <c r="AW421" s="328"/>
      <c r="AX421" s="328"/>
      <c r="AY421" s="328"/>
      <c r="AZ421" s="328"/>
      <c r="BA421" s="328"/>
      <c r="BB421" s="328"/>
      <c r="BC421" s="328"/>
      <c r="BD421" s="328"/>
      <c r="BE421" s="329"/>
    </row>
    <row r="422" spans="1:57" s="330" customFormat="1" x14ac:dyDescent="0.2">
      <c r="A422" s="442"/>
      <c r="B422" s="838"/>
      <c r="C422" s="678"/>
      <c r="D422" s="331">
        <v>2021</v>
      </c>
      <c r="E422" s="332">
        <f>F422+G422+H422+I422+J422</f>
        <v>2.8000000000000001E-2</v>
      </c>
      <c r="F422" s="332">
        <v>2.8000000000000001E-2</v>
      </c>
      <c r="G422" s="420">
        <v>0</v>
      </c>
      <c r="H422" s="332">
        <v>0</v>
      </c>
      <c r="I422" s="420">
        <v>0</v>
      </c>
      <c r="J422" s="420">
        <v>0</v>
      </c>
      <c r="K422" s="325">
        <f t="shared" si="189"/>
        <v>2.8000000000000001E-2</v>
      </c>
      <c r="L422" s="325"/>
      <c r="M422" s="326"/>
      <c r="N422" s="327"/>
      <c r="O422" s="816"/>
      <c r="P422" s="328"/>
      <c r="Q422" s="328"/>
      <c r="R422" s="328"/>
      <c r="S422" s="328"/>
      <c r="T422" s="328"/>
      <c r="U422" s="328"/>
      <c r="V422" s="328"/>
      <c r="W422" s="328"/>
      <c r="X422" s="328"/>
      <c r="Y422" s="328"/>
      <c r="Z422" s="328"/>
      <c r="AA422" s="328"/>
      <c r="AB422" s="328"/>
      <c r="AC422" s="328"/>
      <c r="AD422" s="328"/>
      <c r="AE422" s="328"/>
      <c r="AF422" s="328"/>
      <c r="AG422" s="328"/>
      <c r="AH422" s="328"/>
      <c r="AI422" s="328"/>
      <c r="AJ422" s="328"/>
      <c r="AK422" s="328"/>
      <c r="AL422" s="328"/>
      <c r="AM422" s="328"/>
      <c r="AN422" s="328"/>
      <c r="AO422" s="328"/>
      <c r="AP422" s="328"/>
      <c r="AQ422" s="328"/>
      <c r="AR422" s="328"/>
      <c r="AS422" s="328"/>
      <c r="AT422" s="328"/>
      <c r="AU422" s="328"/>
      <c r="AV422" s="328"/>
      <c r="AW422" s="328"/>
      <c r="AX422" s="328"/>
      <c r="AY422" s="328"/>
      <c r="AZ422" s="328"/>
      <c r="BA422" s="328"/>
      <c r="BB422" s="328"/>
      <c r="BC422" s="328"/>
      <c r="BD422" s="328"/>
      <c r="BE422" s="329"/>
    </row>
    <row r="423" spans="1:57" s="330" customFormat="1" x14ac:dyDescent="0.2">
      <c r="A423" s="442"/>
      <c r="B423" s="838"/>
      <c r="C423" s="678"/>
      <c r="D423" s="331">
        <v>2022</v>
      </c>
      <c r="E423" s="332">
        <f t="shared" ref="E423:E426" si="204">F423+G423+H423+I423+J423</f>
        <v>2.8000000000000001E-2</v>
      </c>
      <c r="F423" s="332">
        <v>2.8000000000000001E-2</v>
      </c>
      <c r="G423" s="420">
        <v>0</v>
      </c>
      <c r="H423" s="332">
        <v>0</v>
      </c>
      <c r="I423" s="420">
        <v>0</v>
      </c>
      <c r="J423" s="420">
        <v>0</v>
      </c>
      <c r="K423" s="325">
        <f t="shared" si="189"/>
        <v>2.8000000000000001E-2</v>
      </c>
      <c r="L423" s="325"/>
      <c r="M423" s="326"/>
      <c r="N423" s="327"/>
      <c r="O423" s="421"/>
      <c r="P423" s="328"/>
      <c r="Q423" s="328"/>
      <c r="R423" s="328"/>
      <c r="S423" s="328"/>
      <c r="T423" s="328"/>
      <c r="U423" s="328"/>
      <c r="V423" s="328"/>
      <c r="W423" s="328"/>
      <c r="X423" s="328"/>
      <c r="Y423" s="328"/>
      <c r="Z423" s="328"/>
      <c r="AA423" s="328"/>
      <c r="AB423" s="328"/>
      <c r="AC423" s="328"/>
      <c r="AD423" s="328"/>
      <c r="AE423" s="328"/>
      <c r="AF423" s="328"/>
      <c r="AG423" s="328"/>
      <c r="AH423" s="328"/>
      <c r="AI423" s="328"/>
      <c r="AJ423" s="328"/>
      <c r="AK423" s="328"/>
      <c r="AL423" s="328"/>
      <c r="AM423" s="328"/>
      <c r="AN423" s="328"/>
      <c r="AO423" s="328"/>
      <c r="AP423" s="328"/>
      <c r="AQ423" s="328"/>
      <c r="AR423" s="328"/>
      <c r="AS423" s="328"/>
      <c r="AT423" s="328"/>
      <c r="AU423" s="328"/>
      <c r="AV423" s="328"/>
      <c r="AW423" s="328"/>
      <c r="AX423" s="328"/>
      <c r="AY423" s="328"/>
      <c r="AZ423" s="328"/>
      <c r="BA423" s="328"/>
      <c r="BB423" s="328"/>
      <c r="BC423" s="328"/>
      <c r="BD423" s="328"/>
      <c r="BE423" s="329"/>
    </row>
    <row r="424" spans="1:57" s="48" customFormat="1" x14ac:dyDescent="0.2">
      <c r="A424" s="229"/>
      <c r="B424" s="838"/>
      <c r="C424" s="678"/>
      <c r="D424" s="189">
        <v>2023</v>
      </c>
      <c r="E424" s="188">
        <f t="shared" si="204"/>
        <v>3.73E-2</v>
      </c>
      <c r="F424" s="188">
        <v>3.73E-2</v>
      </c>
      <c r="G424" s="228">
        <v>0</v>
      </c>
      <c r="H424" s="188">
        <v>0</v>
      </c>
      <c r="I424" s="228">
        <v>0</v>
      </c>
      <c r="J424" s="228">
        <v>0</v>
      </c>
      <c r="K424" s="261">
        <f t="shared" si="189"/>
        <v>3.73E-2</v>
      </c>
      <c r="L424" s="52"/>
      <c r="M424" s="50"/>
      <c r="N424" s="51"/>
      <c r="O424" s="196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6"/>
    </row>
    <row r="425" spans="1:57" s="48" customFormat="1" x14ac:dyDescent="0.2">
      <c r="A425" s="229"/>
      <c r="B425" s="838"/>
      <c r="C425" s="678"/>
      <c r="D425" s="189">
        <v>2024</v>
      </c>
      <c r="E425" s="188">
        <f t="shared" si="204"/>
        <v>3.8800000000000001E-2</v>
      </c>
      <c r="F425" s="188">
        <v>3.8800000000000001E-2</v>
      </c>
      <c r="G425" s="228">
        <v>0</v>
      </c>
      <c r="H425" s="188">
        <v>0</v>
      </c>
      <c r="I425" s="228">
        <v>0</v>
      </c>
      <c r="J425" s="228">
        <v>0</v>
      </c>
      <c r="K425" s="261">
        <f t="shared" si="189"/>
        <v>3.8800000000000001E-2</v>
      </c>
      <c r="L425" s="52"/>
      <c r="M425" s="50"/>
      <c r="N425" s="51"/>
      <c r="O425" s="196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6"/>
    </row>
    <row r="426" spans="1:57" s="48" customFormat="1" x14ac:dyDescent="0.2">
      <c r="A426" s="229"/>
      <c r="B426" s="839"/>
      <c r="C426" s="678"/>
      <c r="D426" s="189">
        <v>2025</v>
      </c>
      <c r="E426" s="188">
        <f t="shared" si="204"/>
        <v>4.0300000000000002E-2</v>
      </c>
      <c r="F426" s="188">
        <v>4.0300000000000002E-2</v>
      </c>
      <c r="G426" s="228">
        <v>0</v>
      </c>
      <c r="H426" s="188">
        <v>0</v>
      </c>
      <c r="I426" s="228">
        <v>0</v>
      </c>
      <c r="J426" s="228">
        <v>0</v>
      </c>
      <c r="K426" s="261">
        <f t="shared" si="189"/>
        <v>4.0300000000000002E-2</v>
      </c>
      <c r="L426" s="52"/>
      <c r="M426" s="50"/>
      <c r="N426" s="51"/>
      <c r="O426" s="196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6"/>
    </row>
    <row r="427" spans="1:57" s="48" customFormat="1" x14ac:dyDescent="0.2">
      <c r="A427" s="652">
        <v>7</v>
      </c>
      <c r="B427" s="649" t="s">
        <v>605</v>
      </c>
      <c r="C427" s="758"/>
      <c r="D427" s="46" t="s">
        <v>198</v>
      </c>
      <c r="E427" s="47">
        <f t="shared" ref="E427:J439" si="205">E440</f>
        <v>8.2785999999999991</v>
      </c>
      <c r="F427" s="47">
        <f t="shared" si="205"/>
        <v>8.2785999999999991</v>
      </c>
      <c r="G427" s="47">
        <f t="shared" si="205"/>
        <v>0</v>
      </c>
      <c r="H427" s="47">
        <f t="shared" si="205"/>
        <v>0</v>
      </c>
      <c r="I427" s="47">
        <f t="shared" si="205"/>
        <v>0</v>
      </c>
      <c r="J427" s="47">
        <f t="shared" si="205"/>
        <v>0</v>
      </c>
      <c r="K427" s="261">
        <f t="shared" si="189"/>
        <v>8.2785999999999991</v>
      </c>
      <c r="L427" s="52"/>
      <c r="M427" s="50"/>
      <c r="N427" s="51"/>
      <c r="O427" s="196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6"/>
    </row>
    <row r="428" spans="1:57" s="48" customFormat="1" x14ac:dyDescent="0.2">
      <c r="A428" s="717"/>
      <c r="B428" s="701"/>
      <c r="C428" s="701"/>
      <c r="D428" s="46">
        <v>2019</v>
      </c>
      <c r="E428" s="47">
        <f t="shared" si="205"/>
        <v>6.7699999999999996E-2</v>
      </c>
      <c r="F428" s="47">
        <f t="shared" si="205"/>
        <v>6.7699999999999996E-2</v>
      </c>
      <c r="G428" s="47">
        <f t="shared" si="205"/>
        <v>0</v>
      </c>
      <c r="H428" s="47">
        <f t="shared" si="205"/>
        <v>0</v>
      </c>
      <c r="I428" s="47">
        <f t="shared" si="205"/>
        <v>0</v>
      </c>
      <c r="J428" s="47">
        <f t="shared" si="205"/>
        <v>0</v>
      </c>
      <c r="K428" s="261">
        <f t="shared" si="189"/>
        <v>6.7699999999999996E-2</v>
      </c>
      <c r="L428" s="52"/>
      <c r="M428" s="50"/>
      <c r="N428" s="51"/>
      <c r="O428" s="196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6"/>
    </row>
    <row r="429" spans="1:57" s="330" customFormat="1" x14ac:dyDescent="0.2">
      <c r="A429" s="717"/>
      <c r="B429" s="701"/>
      <c r="C429" s="701"/>
      <c r="D429" s="323">
        <v>2020</v>
      </c>
      <c r="E429" s="324">
        <f t="shared" si="205"/>
        <v>0.61060000000000003</v>
      </c>
      <c r="F429" s="324">
        <f t="shared" si="205"/>
        <v>0.61060000000000003</v>
      </c>
      <c r="G429" s="324">
        <f t="shared" si="205"/>
        <v>0</v>
      </c>
      <c r="H429" s="324">
        <f t="shared" si="205"/>
        <v>0</v>
      </c>
      <c r="I429" s="324">
        <f t="shared" si="205"/>
        <v>0</v>
      </c>
      <c r="J429" s="324">
        <f t="shared" si="205"/>
        <v>0</v>
      </c>
      <c r="K429" s="325">
        <f t="shared" si="189"/>
        <v>0.61060000000000003</v>
      </c>
      <c r="L429" s="325"/>
      <c r="M429" s="326"/>
      <c r="N429" s="327"/>
      <c r="O429" s="421"/>
      <c r="P429" s="328"/>
      <c r="Q429" s="328"/>
      <c r="R429" s="328"/>
      <c r="S429" s="328"/>
      <c r="T429" s="328"/>
      <c r="U429" s="328"/>
      <c r="V429" s="328"/>
      <c r="W429" s="328"/>
      <c r="X429" s="328"/>
      <c r="Y429" s="328"/>
      <c r="Z429" s="328"/>
      <c r="AA429" s="328"/>
      <c r="AB429" s="328"/>
      <c r="AC429" s="328"/>
      <c r="AD429" s="328"/>
      <c r="AE429" s="328"/>
      <c r="AF429" s="328"/>
      <c r="AG429" s="328"/>
      <c r="AH429" s="328"/>
      <c r="AI429" s="328"/>
      <c r="AJ429" s="328"/>
      <c r="AK429" s="328"/>
      <c r="AL429" s="328"/>
      <c r="AM429" s="328"/>
      <c r="AN429" s="328"/>
      <c r="AO429" s="328"/>
      <c r="AP429" s="328"/>
      <c r="AQ429" s="328"/>
      <c r="AR429" s="328"/>
      <c r="AS429" s="328"/>
      <c r="AT429" s="328"/>
      <c r="AU429" s="328"/>
      <c r="AV429" s="328"/>
      <c r="AW429" s="328"/>
      <c r="AX429" s="328"/>
      <c r="AY429" s="328"/>
      <c r="AZ429" s="328"/>
      <c r="BA429" s="328"/>
      <c r="BB429" s="328"/>
      <c r="BC429" s="328"/>
      <c r="BD429" s="328"/>
      <c r="BE429" s="329"/>
    </row>
    <row r="430" spans="1:57" s="330" customFormat="1" x14ac:dyDescent="0.2">
      <c r="A430" s="717"/>
      <c r="B430" s="701"/>
      <c r="C430" s="701"/>
      <c r="D430" s="323">
        <v>2021</v>
      </c>
      <c r="E430" s="324">
        <f t="shared" si="205"/>
        <v>0.59160000000000001</v>
      </c>
      <c r="F430" s="324">
        <f t="shared" si="205"/>
        <v>0.59160000000000001</v>
      </c>
      <c r="G430" s="324">
        <f t="shared" si="205"/>
        <v>0</v>
      </c>
      <c r="H430" s="324">
        <f t="shared" si="205"/>
        <v>0</v>
      </c>
      <c r="I430" s="324">
        <f t="shared" si="205"/>
        <v>0</v>
      </c>
      <c r="J430" s="324">
        <f t="shared" si="205"/>
        <v>0</v>
      </c>
      <c r="K430" s="325">
        <f t="shared" si="189"/>
        <v>0.59160000000000001</v>
      </c>
      <c r="L430" s="325"/>
      <c r="M430" s="326"/>
      <c r="N430" s="327"/>
      <c r="O430" s="421"/>
      <c r="P430" s="328"/>
      <c r="Q430" s="328"/>
      <c r="R430" s="328"/>
      <c r="S430" s="328"/>
      <c r="T430" s="328"/>
      <c r="U430" s="328"/>
      <c r="V430" s="328"/>
      <c r="W430" s="328"/>
      <c r="X430" s="328"/>
      <c r="Y430" s="328"/>
      <c r="Z430" s="328"/>
      <c r="AA430" s="328"/>
      <c r="AB430" s="328"/>
      <c r="AC430" s="328"/>
      <c r="AD430" s="328"/>
      <c r="AE430" s="328"/>
      <c r="AF430" s="328"/>
      <c r="AG430" s="328"/>
      <c r="AH430" s="328"/>
      <c r="AI430" s="328"/>
      <c r="AJ430" s="328"/>
      <c r="AK430" s="328"/>
      <c r="AL430" s="328"/>
      <c r="AM430" s="328"/>
      <c r="AN430" s="328"/>
      <c r="AO430" s="328"/>
      <c r="AP430" s="328"/>
      <c r="AQ430" s="328"/>
      <c r="AR430" s="328"/>
      <c r="AS430" s="328"/>
      <c r="AT430" s="328"/>
      <c r="AU430" s="328"/>
      <c r="AV430" s="328"/>
      <c r="AW430" s="328"/>
      <c r="AX430" s="328"/>
      <c r="AY430" s="328"/>
      <c r="AZ430" s="328"/>
      <c r="BA430" s="328"/>
      <c r="BB430" s="328"/>
      <c r="BC430" s="328"/>
      <c r="BD430" s="328"/>
      <c r="BE430" s="329"/>
    </row>
    <row r="431" spans="1:57" s="330" customFormat="1" x14ac:dyDescent="0.2">
      <c r="A431" s="717"/>
      <c r="B431" s="701"/>
      <c r="C431" s="701"/>
      <c r="D431" s="323">
        <v>2022</v>
      </c>
      <c r="E431" s="324">
        <f t="shared" si="205"/>
        <v>0.58599999999999997</v>
      </c>
      <c r="F431" s="324">
        <f t="shared" si="205"/>
        <v>0.58599999999999997</v>
      </c>
      <c r="G431" s="324">
        <f t="shared" si="205"/>
        <v>0</v>
      </c>
      <c r="H431" s="324">
        <f t="shared" si="205"/>
        <v>0</v>
      </c>
      <c r="I431" s="324">
        <f t="shared" si="205"/>
        <v>0</v>
      </c>
      <c r="J431" s="324">
        <f t="shared" si="205"/>
        <v>0</v>
      </c>
      <c r="K431" s="325">
        <f t="shared" si="189"/>
        <v>0.58599999999999997</v>
      </c>
      <c r="L431" s="325"/>
      <c r="M431" s="326"/>
      <c r="N431" s="327"/>
      <c r="O431" s="421"/>
      <c r="P431" s="328"/>
      <c r="Q431" s="328"/>
      <c r="R431" s="328"/>
      <c r="S431" s="328"/>
      <c r="T431" s="328"/>
      <c r="U431" s="328"/>
      <c r="V431" s="328"/>
      <c r="W431" s="328"/>
      <c r="X431" s="328"/>
      <c r="Y431" s="328"/>
      <c r="Z431" s="328"/>
      <c r="AA431" s="328"/>
      <c r="AB431" s="328"/>
      <c r="AC431" s="328"/>
      <c r="AD431" s="328"/>
      <c r="AE431" s="328"/>
      <c r="AF431" s="328"/>
      <c r="AG431" s="328"/>
      <c r="AH431" s="328"/>
      <c r="AI431" s="328"/>
      <c r="AJ431" s="328"/>
      <c r="AK431" s="328"/>
      <c r="AL431" s="328"/>
      <c r="AM431" s="328"/>
      <c r="AN431" s="328"/>
      <c r="AO431" s="328"/>
      <c r="AP431" s="328"/>
      <c r="AQ431" s="328"/>
      <c r="AR431" s="328"/>
      <c r="AS431" s="328"/>
      <c r="AT431" s="328"/>
      <c r="AU431" s="328"/>
      <c r="AV431" s="328"/>
      <c r="AW431" s="328"/>
      <c r="AX431" s="328"/>
      <c r="AY431" s="328"/>
      <c r="AZ431" s="328"/>
      <c r="BA431" s="328"/>
      <c r="BB431" s="328"/>
      <c r="BC431" s="328"/>
      <c r="BD431" s="328"/>
      <c r="BE431" s="329"/>
    </row>
    <row r="432" spans="1:57" s="48" customFormat="1" x14ac:dyDescent="0.2">
      <c r="A432" s="717"/>
      <c r="B432" s="701"/>
      <c r="C432" s="701"/>
      <c r="D432" s="46">
        <v>2023</v>
      </c>
      <c r="E432" s="47">
        <f t="shared" si="205"/>
        <v>1.5003</v>
      </c>
      <c r="F432" s="47">
        <f t="shared" si="205"/>
        <v>1.5003</v>
      </c>
      <c r="G432" s="47">
        <f t="shared" si="205"/>
        <v>0</v>
      </c>
      <c r="H432" s="47">
        <f t="shared" si="205"/>
        <v>0</v>
      </c>
      <c r="I432" s="47">
        <f t="shared" si="205"/>
        <v>0</v>
      </c>
      <c r="J432" s="47">
        <f t="shared" si="205"/>
        <v>0</v>
      </c>
      <c r="K432" s="261">
        <f t="shared" si="189"/>
        <v>1.5003</v>
      </c>
      <c r="L432" s="52"/>
      <c r="M432" s="50"/>
      <c r="N432" s="51"/>
      <c r="O432" s="196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6"/>
    </row>
    <row r="433" spans="1:57" s="48" customFormat="1" x14ac:dyDescent="0.2">
      <c r="A433" s="717"/>
      <c r="B433" s="701"/>
      <c r="C433" s="701"/>
      <c r="D433" s="46">
        <v>2024</v>
      </c>
      <c r="E433" s="47">
        <f t="shared" si="205"/>
        <v>0.54079999999999995</v>
      </c>
      <c r="F433" s="47">
        <f t="shared" si="205"/>
        <v>0.54079999999999995</v>
      </c>
      <c r="G433" s="47">
        <f t="shared" si="205"/>
        <v>0</v>
      </c>
      <c r="H433" s="47">
        <f t="shared" si="205"/>
        <v>0</v>
      </c>
      <c r="I433" s="47">
        <f t="shared" si="205"/>
        <v>0</v>
      </c>
      <c r="J433" s="47">
        <f t="shared" si="205"/>
        <v>0</v>
      </c>
      <c r="K433" s="261">
        <f t="shared" si="189"/>
        <v>0.54079999999999995</v>
      </c>
      <c r="L433" s="52"/>
      <c r="M433" s="50"/>
      <c r="N433" s="51"/>
      <c r="O433" s="196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6"/>
    </row>
    <row r="434" spans="1:57" s="48" customFormat="1" x14ac:dyDescent="0.2">
      <c r="A434" s="717"/>
      <c r="B434" s="701"/>
      <c r="C434" s="701"/>
      <c r="D434" s="46">
        <v>2025</v>
      </c>
      <c r="E434" s="47">
        <f t="shared" si="205"/>
        <v>0.3992</v>
      </c>
      <c r="F434" s="47">
        <f t="shared" si="205"/>
        <v>0.3992</v>
      </c>
      <c r="G434" s="47">
        <f t="shared" si="205"/>
        <v>0</v>
      </c>
      <c r="H434" s="47">
        <f t="shared" si="205"/>
        <v>0</v>
      </c>
      <c r="I434" s="47">
        <f t="shared" si="205"/>
        <v>0</v>
      </c>
      <c r="J434" s="47">
        <f t="shared" si="205"/>
        <v>0</v>
      </c>
      <c r="K434" s="261">
        <f t="shared" si="189"/>
        <v>0.3992</v>
      </c>
      <c r="L434" s="52"/>
      <c r="M434" s="50"/>
      <c r="N434" s="51"/>
      <c r="O434" s="196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6"/>
    </row>
    <row r="435" spans="1:57" s="48" customFormat="1" x14ac:dyDescent="0.2">
      <c r="A435" s="717"/>
      <c r="B435" s="701"/>
      <c r="C435" s="701"/>
      <c r="D435" s="46">
        <v>2026</v>
      </c>
      <c r="E435" s="47">
        <f t="shared" si="205"/>
        <v>0.63500000000000001</v>
      </c>
      <c r="F435" s="47">
        <f t="shared" si="205"/>
        <v>0.63500000000000001</v>
      </c>
      <c r="G435" s="47">
        <f t="shared" si="205"/>
        <v>0</v>
      </c>
      <c r="H435" s="47">
        <f t="shared" si="205"/>
        <v>0</v>
      </c>
      <c r="I435" s="47">
        <f t="shared" si="205"/>
        <v>0</v>
      </c>
      <c r="J435" s="47">
        <f t="shared" si="205"/>
        <v>0</v>
      </c>
      <c r="K435" s="261">
        <f t="shared" si="189"/>
        <v>0.63500000000000001</v>
      </c>
      <c r="L435" s="52"/>
      <c r="M435" s="50"/>
      <c r="N435" s="51"/>
      <c r="O435" s="196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6"/>
    </row>
    <row r="436" spans="1:57" s="48" customFormat="1" x14ac:dyDescent="0.2">
      <c r="A436" s="717"/>
      <c r="B436" s="701"/>
      <c r="C436" s="701"/>
      <c r="D436" s="46">
        <v>2027</v>
      </c>
      <c r="E436" s="47">
        <f t="shared" si="205"/>
        <v>0.61529999999999996</v>
      </c>
      <c r="F436" s="47">
        <f t="shared" si="205"/>
        <v>0.61529999999999996</v>
      </c>
      <c r="G436" s="47">
        <f t="shared" si="205"/>
        <v>0</v>
      </c>
      <c r="H436" s="47">
        <f t="shared" si="205"/>
        <v>0</v>
      </c>
      <c r="I436" s="47">
        <f t="shared" si="205"/>
        <v>0</v>
      </c>
      <c r="J436" s="47">
        <f t="shared" si="205"/>
        <v>0</v>
      </c>
      <c r="K436" s="261">
        <f t="shared" si="189"/>
        <v>0.61529999999999996</v>
      </c>
      <c r="L436" s="52"/>
      <c r="M436" s="50"/>
      <c r="N436" s="51"/>
      <c r="O436" s="196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6"/>
    </row>
    <row r="437" spans="1:57" s="48" customFormat="1" x14ac:dyDescent="0.2">
      <c r="A437" s="717"/>
      <c r="B437" s="701"/>
      <c r="C437" s="701"/>
      <c r="D437" s="46">
        <v>2028</v>
      </c>
      <c r="E437" s="47">
        <f t="shared" si="205"/>
        <v>0.60940000000000005</v>
      </c>
      <c r="F437" s="47">
        <f t="shared" si="205"/>
        <v>0.60940000000000005</v>
      </c>
      <c r="G437" s="47">
        <f t="shared" si="205"/>
        <v>0</v>
      </c>
      <c r="H437" s="47">
        <f t="shared" si="205"/>
        <v>0</v>
      </c>
      <c r="I437" s="47">
        <f t="shared" si="205"/>
        <v>0</v>
      </c>
      <c r="J437" s="47">
        <f t="shared" si="205"/>
        <v>0</v>
      </c>
      <c r="K437" s="261">
        <f t="shared" si="189"/>
        <v>0.60940000000000005</v>
      </c>
      <c r="L437" s="52"/>
      <c r="M437" s="50"/>
      <c r="N437" s="51"/>
      <c r="O437" s="196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6"/>
    </row>
    <row r="438" spans="1:57" s="48" customFormat="1" x14ac:dyDescent="0.2">
      <c r="A438" s="717"/>
      <c r="B438" s="701"/>
      <c r="C438" s="701"/>
      <c r="D438" s="46">
        <v>2029</v>
      </c>
      <c r="E438" s="47">
        <f t="shared" si="205"/>
        <v>1.5603</v>
      </c>
      <c r="F438" s="47">
        <f t="shared" si="205"/>
        <v>1.5603</v>
      </c>
      <c r="G438" s="47">
        <f t="shared" si="205"/>
        <v>0</v>
      </c>
      <c r="H438" s="47">
        <f t="shared" si="205"/>
        <v>0</v>
      </c>
      <c r="I438" s="47">
        <f t="shared" si="205"/>
        <v>0</v>
      </c>
      <c r="J438" s="47">
        <f t="shared" si="205"/>
        <v>0</v>
      </c>
      <c r="K438" s="261">
        <f t="shared" si="189"/>
        <v>1.5603</v>
      </c>
      <c r="L438" s="52"/>
      <c r="M438" s="50"/>
      <c r="N438" s="51"/>
      <c r="O438" s="196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6"/>
    </row>
    <row r="439" spans="1:57" s="48" customFormat="1" x14ac:dyDescent="0.2">
      <c r="A439" s="734"/>
      <c r="B439" s="702"/>
      <c r="C439" s="702"/>
      <c r="D439" s="46">
        <v>2030</v>
      </c>
      <c r="E439" s="47">
        <f t="shared" si="205"/>
        <v>0.56240000000000001</v>
      </c>
      <c r="F439" s="47">
        <f t="shared" si="205"/>
        <v>0.56240000000000001</v>
      </c>
      <c r="G439" s="47">
        <f t="shared" si="205"/>
        <v>0</v>
      </c>
      <c r="H439" s="47">
        <f t="shared" si="205"/>
        <v>0</v>
      </c>
      <c r="I439" s="47">
        <f t="shared" si="205"/>
        <v>0</v>
      </c>
      <c r="J439" s="47">
        <f t="shared" si="205"/>
        <v>0</v>
      </c>
      <c r="K439" s="261">
        <f t="shared" si="189"/>
        <v>0.56240000000000001</v>
      </c>
      <c r="L439" s="52"/>
      <c r="M439" s="50"/>
      <c r="N439" s="51"/>
      <c r="O439" s="196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6"/>
    </row>
    <row r="440" spans="1:57" s="48" customFormat="1" ht="12.75" customHeight="1" x14ac:dyDescent="0.2">
      <c r="A440" s="662" t="s">
        <v>380</v>
      </c>
      <c r="B440" s="631" t="s">
        <v>834</v>
      </c>
      <c r="C440" s="255"/>
      <c r="D440" s="46" t="s">
        <v>198</v>
      </c>
      <c r="E440" s="47">
        <f>SUM(E441:E452)</f>
        <v>8.2785999999999991</v>
      </c>
      <c r="F440" s="47">
        <f t="shared" ref="F440:J440" si="206">SUM(F441:F452)</f>
        <v>8.2785999999999991</v>
      </c>
      <c r="G440" s="47">
        <f t="shared" si="206"/>
        <v>0</v>
      </c>
      <c r="H440" s="47">
        <f t="shared" si="206"/>
        <v>0</v>
      </c>
      <c r="I440" s="47">
        <f t="shared" si="206"/>
        <v>0</v>
      </c>
      <c r="J440" s="47">
        <f t="shared" si="206"/>
        <v>0</v>
      </c>
      <c r="K440" s="261">
        <f t="shared" si="189"/>
        <v>8.2785999999999991</v>
      </c>
      <c r="L440" s="52"/>
      <c r="M440" s="50"/>
      <c r="N440" s="51"/>
      <c r="O440" s="746" t="s">
        <v>739</v>
      </c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6"/>
    </row>
    <row r="441" spans="1:57" s="330" customFormat="1" ht="20.25" customHeight="1" x14ac:dyDescent="0.2">
      <c r="A441" s="717"/>
      <c r="B441" s="648"/>
      <c r="C441" s="443" t="s">
        <v>761</v>
      </c>
      <c r="D441" s="331">
        <v>2019</v>
      </c>
      <c r="E441" s="332">
        <f>F441+G441+H441+I441+J441</f>
        <v>6.7699999999999996E-2</v>
      </c>
      <c r="F441" s="332">
        <v>6.7699999999999996E-2</v>
      </c>
      <c r="G441" s="419">
        <v>0</v>
      </c>
      <c r="H441" s="332">
        <v>0</v>
      </c>
      <c r="I441" s="420">
        <v>0</v>
      </c>
      <c r="J441" s="420">
        <v>0</v>
      </c>
      <c r="K441" s="325">
        <f t="shared" si="189"/>
        <v>6.7699999999999996E-2</v>
      </c>
      <c r="L441" s="325"/>
      <c r="M441" s="326"/>
      <c r="N441" s="327"/>
      <c r="O441" s="701"/>
      <c r="P441" s="328"/>
      <c r="Q441" s="328"/>
      <c r="R441" s="328"/>
      <c r="S441" s="328"/>
      <c r="T441" s="328"/>
      <c r="U441" s="328"/>
      <c r="V441" s="328"/>
      <c r="W441" s="328"/>
      <c r="X441" s="328"/>
      <c r="Y441" s="328"/>
      <c r="Z441" s="328"/>
      <c r="AA441" s="328"/>
      <c r="AB441" s="328"/>
      <c r="AC441" s="328"/>
      <c r="AD441" s="328"/>
      <c r="AE441" s="328"/>
      <c r="AF441" s="328"/>
      <c r="AG441" s="328"/>
      <c r="AH441" s="328"/>
      <c r="AI441" s="328"/>
      <c r="AJ441" s="328"/>
      <c r="AK441" s="328"/>
      <c r="AL441" s="328"/>
      <c r="AM441" s="328"/>
      <c r="AN441" s="328"/>
      <c r="AO441" s="328"/>
      <c r="AP441" s="328"/>
      <c r="AQ441" s="328"/>
      <c r="AR441" s="328"/>
      <c r="AS441" s="328"/>
      <c r="AT441" s="328"/>
      <c r="AU441" s="328"/>
      <c r="AV441" s="328"/>
      <c r="AW441" s="328"/>
      <c r="AX441" s="328"/>
      <c r="AY441" s="328"/>
      <c r="AZ441" s="328"/>
      <c r="BA441" s="328"/>
      <c r="BB441" s="328"/>
      <c r="BC441" s="328"/>
      <c r="BD441" s="328"/>
      <c r="BE441" s="329"/>
    </row>
    <row r="442" spans="1:57" s="330" customFormat="1" x14ac:dyDescent="0.2">
      <c r="A442" s="717"/>
      <c r="B442" s="648"/>
      <c r="C442" s="631" t="s">
        <v>909</v>
      </c>
      <c r="D442" s="331">
        <v>2020</v>
      </c>
      <c r="E442" s="332">
        <f t="shared" ref="E442:E452" si="207">F442+G442+H442+I442+J442</f>
        <v>0.61060000000000003</v>
      </c>
      <c r="F442" s="332">
        <v>0.61060000000000003</v>
      </c>
      <c r="G442" s="419">
        <v>0</v>
      </c>
      <c r="H442" s="332">
        <v>0</v>
      </c>
      <c r="I442" s="420">
        <v>0</v>
      </c>
      <c r="J442" s="420">
        <v>0</v>
      </c>
      <c r="K442" s="325">
        <f t="shared" si="189"/>
        <v>0.61060000000000003</v>
      </c>
      <c r="L442" s="325"/>
      <c r="M442" s="326"/>
      <c r="N442" s="327"/>
      <c r="O442" s="701"/>
      <c r="P442" s="328"/>
      <c r="Q442" s="328"/>
      <c r="R442" s="328"/>
      <c r="S442" s="328"/>
      <c r="T442" s="328"/>
      <c r="U442" s="328"/>
      <c r="V442" s="328"/>
      <c r="W442" s="328"/>
      <c r="X442" s="328"/>
      <c r="Y442" s="328"/>
      <c r="Z442" s="328"/>
      <c r="AA442" s="328"/>
      <c r="AB442" s="328"/>
      <c r="AC442" s="328"/>
      <c r="AD442" s="328"/>
      <c r="AE442" s="328"/>
      <c r="AF442" s="328"/>
      <c r="AG442" s="328"/>
      <c r="AH442" s="328"/>
      <c r="AI442" s="328"/>
      <c r="AJ442" s="328"/>
      <c r="AK442" s="328"/>
      <c r="AL442" s="328"/>
      <c r="AM442" s="328"/>
      <c r="AN442" s="328"/>
      <c r="AO442" s="328"/>
      <c r="AP442" s="328"/>
      <c r="AQ442" s="328"/>
      <c r="AR442" s="328"/>
      <c r="AS442" s="328"/>
      <c r="AT442" s="328"/>
      <c r="AU442" s="328"/>
      <c r="AV442" s="328"/>
      <c r="AW442" s="328"/>
      <c r="AX442" s="328"/>
      <c r="AY442" s="328"/>
      <c r="AZ442" s="328"/>
      <c r="BA442" s="328"/>
      <c r="BB442" s="328"/>
      <c r="BC442" s="328"/>
      <c r="BD442" s="328"/>
      <c r="BE442" s="329"/>
    </row>
    <row r="443" spans="1:57" s="330" customFormat="1" ht="12.75" customHeight="1" x14ac:dyDescent="0.2">
      <c r="A443" s="717"/>
      <c r="B443" s="648"/>
      <c r="C443" s="648"/>
      <c r="D443" s="331">
        <v>2021</v>
      </c>
      <c r="E443" s="332">
        <f t="shared" si="207"/>
        <v>0.59160000000000001</v>
      </c>
      <c r="F443" s="332">
        <v>0.59160000000000001</v>
      </c>
      <c r="G443" s="419">
        <v>0</v>
      </c>
      <c r="H443" s="332">
        <v>0</v>
      </c>
      <c r="I443" s="420">
        <v>0</v>
      </c>
      <c r="J443" s="420">
        <v>0</v>
      </c>
      <c r="K443" s="325">
        <f t="shared" si="189"/>
        <v>0.59160000000000001</v>
      </c>
      <c r="L443" s="325"/>
      <c r="M443" s="326"/>
      <c r="N443" s="327"/>
      <c r="O443" s="701"/>
      <c r="P443" s="328"/>
      <c r="Q443" s="328"/>
      <c r="R443" s="328"/>
      <c r="S443" s="328"/>
      <c r="T443" s="328"/>
      <c r="U443" s="328"/>
      <c r="V443" s="328"/>
      <c r="W443" s="328"/>
      <c r="X443" s="328"/>
      <c r="Y443" s="328"/>
      <c r="Z443" s="328"/>
      <c r="AA443" s="328"/>
      <c r="AB443" s="328"/>
      <c r="AC443" s="328"/>
      <c r="AD443" s="328"/>
      <c r="AE443" s="328"/>
      <c r="AF443" s="328"/>
      <c r="AG443" s="328"/>
      <c r="AH443" s="328"/>
      <c r="AI443" s="328"/>
      <c r="AJ443" s="328"/>
      <c r="AK443" s="328"/>
      <c r="AL443" s="328"/>
      <c r="AM443" s="328"/>
      <c r="AN443" s="328"/>
      <c r="AO443" s="328"/>
      <c r="AP443" s="328"/>
      <c r="AQ443" s="328"/>
      <c r="AR443" s="328"/>
      <c r="AS443" s="328"/>
      <c r="AT443" s="328"/>
      <c r="AU443" s="328"/>
      <c r="AV443" s="328"/>
      <c r="AW443" s="328"/>
      <c r="AX443" s="328"/>
      <c r="AY443" s="328"/>
      <c r="AZ443" s="328"/>
      <c r="BA443" s="328"/>
      <c r="BB443" s="328"/>
      <c r="BC443" s="328"/>
      <c r="BD443" s="328"/>
      <c r="BE443" s="329"/>
    </row>
    <row r="444" spans="1:57" s="330" customFormat="1" x14ac:dyDescent="0.2">
      <c r="A444" s="717"/>
      <c r="B444" s="648"/>
      <c r="C444" s="648"/>
      <c r="D444" s="331">
        <v>2022</v>
      </c>
      <c r="E444" s="332">
        <f t="shared" si="207"/>
        <v>0.58599999999999997</v>
      </c>
      <c r="F444" s="332">
        <v>0.58599999999999997</v>
      </c>
      <c r="G444" s="419">
        <v>0</v>
      </c>
      <c r="H444" s="332">
        <v>0</v>
      </c>
      <c r="I444" s="420">
        <v>0</v>
      </c>
      <c r="J444" s="420">
        <v>0</v>
      </c>
      <c r="K444" s="325">
        <f t="shared" si="189"/>
        <v>0.58599999999999997</v>
      </c>
      <c r="L444" s="325"/>
      <c r="M444" s="326"/>
      <c r="N444" s="327"/>
      <c r="O444" s="701"/>
      <c r="P444" s="328"/>
      <c r="Q444" s="328"/>
      <c r="R444" s="328"/>
      <c r="S444" s="328"/>
      <c r="T444" s="328"/>
      <c r="U444" s="328"/>
      <c r="V444" s="328"/>
      <c r="W444" s="328"/>
      <c r="X444" s="328"/>
      <c r="Y444" s="328"/>
      <c r="Z444" s="328"/>
      <c r="AA444" s="328"/>
      <c r="AB444" s="328"/>
      <c r="AC444" s="328"/>
      <c r="AD444" s="328"/>
      <c r="AE444" s="328"/>
      <c r="AF444" s="328"/>
      <c r="AG444" s="328"/>
      <c r="AH444" s="328"/>
      <c r="AI444" s="328"/>
      <c r="AJ444" s="328"/>
      <c r="AK444" s="328"/>
      <c r="AL444" s="328"/>
      <c r="AM444" s="328"/>
      <c r="AN444" s="328"/>
      <c r="AO444" s="328"/>
      <c r="AP444" s="328"/>
      <c r="AQ444" s="328"/>
      <c r="AR444" s="328"/>
      <c r="AS444" s="328"/>
      <c r="AT444" s="328"/>
      <c r="AU444" s="328"/>
      <c r="AV444" s="328"/>
      <c r="AW444" s="328"/>
      <c r="AX444" s="328"/>
      <c r="AY444" s="328"/>
      <c r="AZ444" s="328"/>
      <c r="BA444" s="328"/>
      <c r="BB444" s="328"/>
      <c r="BC444" s="328"/>
      <c r="BD444" s="328"/>
      <c r="BE444" s="329"/>
    </row>
    <row r="445" spans="1:57" s="48" customFormat="1" x14ac:dyDescent="0.2">
      <c r="A445" s="717"/>
      <c r="B445" s="648"/>
      <c r="C445" s="648"/>
      <c r="D445" s="189">
        <v>2023</v>
      </c>
      <c r="E445" s="188">
        <f t="shared" si="207"/>
        <v>1.5003</v>
      </c>
      <c r="F445" s="188">
        <v>1.5003</v>
      </c>
      <c r="G445" s="61">
        <v>0</v>
      </c>
      <c r="H445" s="188">
        <v>0</v>
      </c>
      <c r="I445" s="228">
        <v>0</v>
      </c>
      <c r="J445" s="228">
        <v>0</v>
      </c>
      <c r="K445" s="261">
        <f t="shared" si="189"/>
        <v>1.5003</v>
      </c>
      <c r="L445" s="52"/>
      <c r="M445" s="50"/>
      <c r="N445" s="51"/>
      <c r="O445" s="701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6"/>
    </row>
    <row r="446" spans="1:57" s="48" customFormat="1" x14ac:dyDescent="0.2">
      <c r="A446" s="717"/>
      <c r="B446" s="648"/>
      <c r="C446" s="648"/>
      <c r="D446" s="189">
        <v>2024</v>
      </c>
      <c r="E446" s="188">
        <f t="shared" si="207"/>
        <v>0.54079999999999995</v>
      </c>
      <c r="F446" s="188">
        <v>0.54079999999999995</v>
      </c>
      <c r="G446" s="61">
        <v>0</v>
      </c>
      <c r="H446" s="188">
        <v>0</v>
      </c>
      <c r="I446" s="228">
        <v>0</v>
      </c>
      <c r="J446" s="228">
        <v>0</v>
      </c>
      <c r="K446" s="261">
        <f t="shared" si="189"/>
        <v>0.54079999999999995</v>
      </c>
      <c r="L446" s="52"/>
      <c r="M446" s="50"/>
      <c r="N446" s="51"/>
      <c r="O446" s="701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6"/>
    </row>
    <row r="447" spans="1:57" s="48" customFormat="1" x14ac:dyDescent="0.2">
      <c r="A447" s="717"/>
      <c r="B447" s="648"/>
      <c r="C447" s="632"/>
      <c r="D447" s="189">
        <v>2025</v>
      </c>
      <c r="E447" s="188">
        <f t="shared" si="207"/>
        <v>0.3992</v>
      </c>
      <c r="F447" s="188">
        <v>0.3992</v>
      </c>
      <c r="G447" s="61">
        <v>0</v>
      </c>
      <c r="H447" s="188">
        <v>0</v>
      </c>
      <c r="I447" s="228">
        <v>0</v>
      </c>
      <c r="J447" s="228">
        <v>0</v>
      </c>
      <c r="K447" s="261">
        <f t="shared" si="189"/>
        <v>0.3992</v>
      </c>
      <c r="L447" s="52"/>
      <c r="M447" s="50"/>
      <c r="N447" s="51"/>
      <c r="O447" s="701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6"/>
    </row>
    <row r="448" spans="1:57" s="48" customFormat="1" x14ac:dyDescent="0.2">
      <c r="A448" s="717"/>
      <c r="B448" s="648"/>
      <c r="C448" s="631" t="s">
        <v>910</v>
      </c>
      <c r="D448" s="189">
        <v>2026</v>
      </c>
      <c r="E448" s="188">
        <f t="shared" si="207"/>
        <v>0.63500000000000001</v>
      </c>
      <c r="F448" s="188">
        <v>0.63500000000000001</v>
      </c>
      <c r="G448" s="61">
        <v>0</v>
      </c>
      <c r="H448" s="188">
        <v>0</v>
      </c>
      <c r="I448" s="228">
        <v>0</v>
      </c>
      <c r="J448" s="228">
        <v>0</v>
      </c>
      <c r="K448" s="261">
        <f t="shared" si="189"/>
        <v>0.63500000000000001</v>
      </c>
      <c r="L448" s="52"/>
      <c r="M448" s="50"/>
      <c r="N448" s="51"/>
      <c r="O448" s="701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6"/>
    </row>
    <row r="449" spans="1:57" s="48" customFormat="1" x14ac:dyDescent="0.2">
      <c r="A449" s="717"/>
      <c r="B449" s="648"/>
      <c r="C449" s="648"/>
      <c r="D449" s="189">
        <v>2027</v>
      </c>
      <c r="E449" s="188">
        <f t="shared" si="207"/>
        <v>0.61529999999999996</v>
      </c>
      <c r="F449" s="188">
        <v>0.61529999999999996</v>
      </c>
      <c r="G449" s="61">
        <v>0</v>
      </c>
      <c r="H449" s="188">
        <v>0</v>
      </c>
      <c r="I449" s="228">
        <v>0</v>
      </c>
      <c r="J449" s="228">
        <v>0</v>
      </c>
      <c r="K449" s="261">
        <f t="shared" si="189"/>
        <v>0.61529999999999996</v>
      </c>
      <c r="L449" s="52"/>
      <c r="M449" s="50"/>
      <c r="N449" s="51"/>
      <c r="O449" s="701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6"/>
    </row>
    <row r="450" spans="1:57" s="48" customFormat="1" x14ac:dyDescent="0.2">
      <c r="A450" s="717"/>
      <c r="B450" s="648"/>
      <c r="C450" s="648"/>
      <c r="D450" s="189">
        <v>2028</v>
      </c>
      <c r="E450" s="188">
        <f t="shared" si="207"/>
        <v>0.60940000000000005</v>
      </c>
      <c r="F450" s="188">
        <v>0.60940000000000005</v>
      </c>
      <c r="G450" s="61">
        <v>0</v>
      </c>
      <c r="H450" s="188">
        <v>0</v>
      </c>
      <c r="I450" s="228">
        <v>0</v>
      </c>
      <c r="J450" s="228">
        <v>0</v>
      </c>
      <c r="K450" s="261">
        <f t="shared" si="189"/>
        <v>0.60940000000000005</v>
      </c>
      <c r="L450" s="52"/>
      <c r="M450" s="50"/>
      <c r="N450" s="51"/>
      <c r="O450" s="701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6"/>
    </row>
    <row r="451" spans="1:57" s="48" customFormat="1" x14ac:dyDescent="0.2">
      <c r="A451" s="717"/>
      <c r="B451" s="648"/>
      <c r="C451" s="648"/>
      <c r="D451" s="189">
        <v>2029</v>
      </c>
      <c r="E451" s="188">
        <f t="shared" si="207"/>
        <v>1.5603</v>
      </c>
      <c r="F451" s="188">
        <v>1.5603</v>
      </c>
      <c r="G451" s="61">
        <v>0</v>
      </c>
      <c r="H451" s="188">
        <v>0</v>
      </c>
      <c r="I451" s="228">
        <v>0</v>
      </c>
      <c r="J451" s="228">
        <v>0</v>
      </c>
      <c r="K451" s="261">
        <f t="shared" si="189"/>
        <v>1.5603</v>
      </c>
      <c r="L451" s="52"/>
      <c r="M451" s="50"/>
      <c r="N451" s="51"/>
      <c r="O451" s="701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6"/>
    </row>
    <row r="452" spans="1:57" s="48" customFormat="1" x14ac:dyDescent="0.2">
      <c r="A452" s="734"/>
      <c r="B452" s="632"/>
      <c r="C452" s="632"/>
      <c r="D452" s="189">
        <v>2030</v>
      </c>
      <c r="E452" s="188">
        <f t="shared" si="207"/>
        <v>0.56240000000000001</v>
      </c>
      <c r="F452" s="188">
        <v>0.56240000000000001</v>
      </c>
      <c r="G452" s="61">
        <v>0</v>
      </c>
      <c r="H452" s="188">
        <v>0</v>
      </c>
      <c r="I452" s="228">
        <v>0</v>
      </c>
      <c r="J452" s="228">
        <v>0</v>
      </c>
      <c r="K452" s="261">
        <f t="shared" si="189"/>
        <v>0.56240000000000001</v>
      </c>
      <c r="L452" s="52"/>
      <c r="M452" s="50"/>
      <c r="N452" s="51"/>
      <c r="O452" s="702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6"/>
    </row>
    <row r="453" spans="1:57" s="48" customFormat="1" ht="12.75" customHeight="1" x14ac:dyDescent="0.2">
      <c r="A453" s="731" t="s">
        <v>391</v>
      </c>
      <c r="B453" s="833" t="s">
        <v>971</v>
      </c>
      <c r="C453" s="652"/>
      <c r="D453" s="46" t="s">
        <v>198</v>
      </c>
      <c r="E453" s="218">
        <f>E454+E455+E456+E457+E458+E459+E460</f>
        <v>8135.0630999999985</v>
      </c>
      <c r="F453" s="218">
        <f t="shared" ref="F453:J453" si="208">F454+F455+F456+F457+F458+F459+F460</f>
        <v>87.203599999999994</v>
      </c>
      <c r="G453" s="218">
        <f t="shared" si="208"/>
        <v>211.04910000000001</v>
      </c>
      <c r="H453" s="218">
        <f t="shared" si="208"/>
        <v>1034.8088</v>
      </c>
      <c r="I453" s="218">
        <f t="shared" si="208"/>
        <v>6798.12</v>
      </c>
      <c r="J453" s="218">
        <f t="shared" si="208"/>
        <v>3.8815999999999997</v>
      </c>
      <c r="K453" s="261">
        <f t="shared" si="189"/>
        <v>8135.0630999999994</v>
      </c>
      <c r="L453" s="52"/>
      <c r="M453" s="50"/>
      <c r="N453" s="51"/>
      <c r="O453" s="49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6"/>
    </row>
    <row r="454" spans="1:57" s="48" customFormat="1" ht="12.75" customHeight="1" x14ac:dyDescent="0.2">
      <c r="A454" s="732"/>
      <c r="B454" s="834"/>
      <c r="C454" s="653"/>
      <c r="D454" s="46">
        <v>2019</v>
      </c>
      <c r="E454" s="218">
        <f>E483+E487+E496+E499+E507</f>
        <v>929.09609999999998</v>
      </c>
      <c r="F454" s="218">
        <f t="shared" ref="F454:J454" si="209">F483+F487+F496+F499+F507</f>
        <v>17.819900000000001</v>
      </c>
      <c r="G454" s="218">
        <f t="shared" si="209"/>
        <v>99.615399999999994</v>
      </c>
      <c r="H454" s="218">
        <f t="shared" si="209"/>
        <v>221.95830000000001</v>
      </c>
      <c r="I454" s="218">
        <f t="shared" si="209"/>
        <v>589.02</v>
      </c>
      <c r="J454" s="218">
        <f t="shared" si="209"/>
        <v>0.6825</v>
      </c>
      <c r="K454" s="261">
        <f t="shared" si="189"/>
        <v>929.09609999999998</v>
      </c>
      <c r="L454" s="52"/>
      <c r="M454" s="50"/>
      <c r="N454" s="51"/>
      <c r="O454" s="49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6"/>
    </row>
    <row r="455" spans="1:57" s="48" customFormat="1" ht="12.75" customHeight="1" x14ac:dyDescent="0.2">
      <c r="A455" s="732"/>
      <c r="B455" s="834"/>
      <c r="C455" s="653"/>
      <c r="D455" s="46">
        <v>2020</v>
      </c>
      <c r="E455" s="218">
        <f>E462+E484+E488+E494+E497+E500+E508</f>
        <v>5477.0097999999998</v>
      </c>
      <c r="F455" s="321">
        <f t="shared" ref="F455:J455" si="210">F462+F484+F488+F494+F497+F500+F508</f>
        <v>11.309699999999999</v>
      </c>
      <c r="G455" s="321">
        <f t="shared" si="210"/>
        <v>111.4337</v>
      </c>
      <c r="H455" s="321">
        <f t="shared" si="210"/>
        <v>732.74489999999992</v>
      </c>
      <c r="I455" s="321">
        <f t="shared" si="210"/>
        <v>4620.8</v>
      </c>
      <c r="J455" s="321">
        <f t="shared" si="210"/>
        <v>0.72150000000000003</v>
      </c>
      <c r="K455" s="261">
        <f t="shared" si="189"/>
        <v>5477.0097999999998</v>
      </c>
      <c r="L455" s="52"/>
      <c r="M455" s="50"/>
      <c r="N455" s="51"/>
      <c r="O455" s="49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6"/>
    </row>
    <row r="456" spans="1:57" s="48" customFormat="1" ht="12.75" customHeight="1" x14ac:dyDescent="0.2">
      <c r="A456" s="732"/>
      <c r="B456" s="834"/>
      <c r="C456" s="653"/>
      <c r="D456" s="46">
        <v>2021</v>
      </c>
      <c r="E456" s="218">
        <f t="shared" ref="E456:J456" si="211">E463+E485+E489+E501</f>
        <v>510.77420000000001</v>
      </c>
      <c r="F456" s="218">
        <f t="shared" si="211"/>
        <v>8.391</v>
      </c>
      <c r="G456" s="218">
        <f t="shared" si="211"/>
        <v>0</v>
      </c>
      <c r="H456" s="218">
        <f t="shared" si="211"/>
        <v>80.105599999999995</v>
      </c>
      <c r="I456" s="218">
        <f t="shared" si="211"/>
        <v>419.8</v>
      </c>
      <c r="J456" s="218">
        <f t="shared" si="211"/>
        <v>2.4775999999999998</v>
      </c>
      <c r="K456" s="261">
        <f t="shared" si="189"/>
        <v>510.77420000000001</v>
      </c>
      <c r="L456" s="52"/>
      <c r="M456" s="50"/>
      <c r="N456" s="51"/>
      <c r="O456" s="49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6"/>
    </row>
    <row r="457" spans="1:57" s="48" customFormat="1" ht="12.75" customHeight="1" x14ac:dyDescent="0.2">
      <c r="A457" s="732"/>
      <c r="B457" s="834"/>
      <c r="C457" s="653"/>
      <c r="D457" s="46">
        <v>2022</v>
      </c>
      <c r="E457" s="218">
        <f t="shared" ref="E457:J459" si="212">E464+E490+E502</f>
        <v>604.0951</v>
      </c>
      <c r="F457" s="218">
        <f t="shared" si="212"/>
        <v>8.7950999999999997</v>
      </c>
      <c r="G457" s="218">
        <f t="shared" si="212"/>
        <v>0</v>
      </c>
      <c r="H457" s="218">
        <f t="shared" si="212"/>
        <v>0</v>
      </c>
      <c r="I457" s="218">
        <f t="shared" si="212"/>
        <v>595.29999999999995</v>
      </c>
      <c r="J457" s="218">
        <f t="shared" si="212"/>
        <v>0</v>
      </c>
      <c r="K457" s="261">
        <f t="shared" si="189"/>
        <v>604.0951</v>
      </c>
      <c r="L457" s="52"/>
      <c r="M457" s="50"/>
      <c r="N457" s="51"/>
      <c r="O457" s="49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6"/>
    </row>
    <row r="458" spans="1:57" s="48" customFormat="1" ht="15.75" customHeight="1" x14ac:dyDescent="0.2">
      <c r="A458" s="732"/>
      <c r="B458" s="834"/>
      <c r="C458" s="653"/>
      <c r="D458" s="46">
        <v>2023</v>
      </c>
      <c r="E458" s="218">
        <f t="shared" si="212"/>
        <v>546.59839999999997</v>
      </c>
      <c r="F458" s="218">
        <f t="shared" si="212"/>
        <v>13.0984</v>
      </c>
      <c r="G458" s="218">
        <f t="shared" si="212"/>
        <v>0</v>
      </c>
      <c r="H458" s="218">
        <f t="shared" si="212"/>
        <v>0</v>
      </c>
      <c r="I458" s="218">
        <f t="shared" si="212"/>
        <v>533.5</v>
      </c>
      <c r="J458" s="218">
        <f t="shared" si="212"/>
        <v>0</v>
      </c>
      <c r="K458" s="261">
        <f t="shared" si="189"/>
        <v>546.59839999999997</v>
      </c>
      <c r="L458" s="52"/>
      <c r="M458" s="50"/>
      <c r="N458" s="51"/>
      <c r="O458" s="62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6"/>
    </row>
    <row r="459" spans="1:57" s="48" customFormat="1" ht="15.75" customHeight="1" x14ac:dyDescent="0.2">
      <c r="A459" s="732"/>
      <c r="B459" s="834"/>
      <c r="C459" s="653"/>
      <c r="D459" s="46">
        <v>2024</v>
      </c>
      <c r="E459" s="218">
        <f t="shared" si="212"/>
        <v>53.322299999999998</v>
      </c>
      <c r="F459" s="218">
        <f t="shared" si="212"/>
        <v>13.622299999999999</v>
      </c>
      <c r="G459" s="218">
        <f t="shared" si="212"/>
        <v>0</v>
      </c>
      <c r="H459" s="218">
        <f t="shared" si="212"/>
        <v>0</v>
      </c>
      <c r="I459" s="218">
        <f t="shared" si="212"/>
        <v>39.700000000000003</v>
      </c>
      <c r="J459" s="218">
        <f t="shared" si="212"/>
        <v>0</v>
      </c>
      <c r="K459" s="261">
        <f t="shared" si="189"/>
        <v>53.322299999999998</v>
      </c>
      <c r="L459" s="52"/>
      <c r="M459" s="50"/>
      <c r="N459" s="51"/>
      <c r="O459" s="62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6"/>
    </row>
    <row r="460" spans="1:57" s="48" customFormat="1" ht="15.75" customHeight="1" x14ac:dyDescent="0.2">
      <c r="A460" s="733"/>
      <c r="B460" s="835"/>
      <c r="C460" s="836"/>
      <c r="D460" s="46">
        <v>2025</v>
      </c>
      <c r="E460" s="218">
        <f t="shared" ref="E460:J460" si="213">E467+E505</f>
        <v>14.167199999999999</v>
      </c>
      <c r="F460" s="218">
        <f t="shared" si="213"/>
        <v>14.167199999999999</v>
      </c>
      <c r="G460" s="218">
        <f t="shared" si="213"/>
        <v>0</v>
      </c>
      <c r="H460" s="218">
        <f t="shared" si="213"/>
        <v>0</v>
      </c>
      <c r="I460" s="218">
        <f t="shared" si="213"/>
        <v>0</v>
      </c>
      <c r="J460" s="218">
        <f t="shared" si="213"/>
        <v>0</v>
      </c>
      <c r="K460" s="261">
        <f t="shared" si="189"/>
        <v>14.167199999999999</v>
      </c>
      <c r="L460" s="52"/>
      <c r="M460" s="50"/>
      <c r="N460" s="51"/>
      <c r="O460" s="62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6"/>
    </row>
    <row r="461" spans="1:57" s="48" customFormat="1" ht="27.75" customHeight="1" x14ac:dyDescent="0.2">
      <c r="A461" s="697" t="s">
        <v>381</v>
      </c>
      <c r="B461" s="631" t="s">
        <v>578</v>
      </c>
      <c r="C461" s="705" t="s">
        <v>1000</v>
      </c>
      <c r="D461" s="46" t="s">
        <v>198</v>
      </c>
      <c r="E461" s="47">
        <f>E462+E463+E464+E465+E466+E467</f>
        <v>0</v>
      </c>
      <c r="F461" s="47">
        <f t="shared" ref="F461:J461" si="214">F462+F463+F464+F465+F466+F467</f>
        <v>0</v>
      </c>
      <c r="G461" s="47">
        <f t="shared" si="214"/>
        <v>0</v>
      </c>
      <c r="H461" s="47">
        <f t="shared" si="214"/>
        <v>0</v>
      </c>
      <c r="I461" s="47">
        <f t="shared" si="214"/>
        <v>0</v>
      </c>
      <c r="J461" s="47">
        <f t="shared" si="214"/>
        <v>0</v>
      </c>
      <c r="K461" s="261">
        <f t="shared" ref="K461:K525" si="215">F461+G461+H461+I461+J461</f>
        <v>0</v>
      </c>
      <c r="L461" s="52"/>
      <c r="M461" s="50"/>
      <c r="N461" s="56"/>
      <c r="O461" s="746" t="s">
        <v>599</v>
      </c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6"/>
    </row>
    <row r="462" spans="1:57" s="48" customFormat="1" x14ac:dyDescent="0.2">
      <c r="A462" s="717"/>
      <c r="B462" s="831"/>
      <c r="C462" s="706"/>
      <c r="D462" s="189">
        <v>2020</v>
      </c>
      <c r="E462" s="188">
        <f t="shared" ref="E462:J467" si="216">E469+E476</f>
        <v>0</v>
      </c>
      <c r="F462" s="188">
        <f t="shared" si="216"/>
        <v>0</v>
      </c>
      <c r="G462" s="188">
        <f t="shared" si="216"/>
        <v>0</v>
      </c>
      <c r="H462" s="188">
        <f t="shared" si="216"/>
        <v>0</v>
      </c>
      <c r="I462" s="188">
        <f t="shared" si="216"/>
        <v>0</v>
      </c>
      <c r="J462" s="188">
        <f t="shared" si="216"/>
        <v>0</v>
      </c>
      <c r="K462" s="261">
        <f t="shared" si="215"/>
        <v>0</v>
      </c>
      <c r="L462" s="52"/>
      <c r="M462" s="50"/>
      <c r="N462" s="56"/>
      <c r="O462" s="701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6"/>
    </row>
    <row r="463" spans="1:57" s="48" customFormat="1" x14ac:dyDescent="0.2">
      <c r="A463" s="717"/>
      <c r="B463" s="831"/>
      <c r="C463" s="706"/>
      <c r="D463" s="189">
        <v>2021</v>
      </c>
      <c r="E463" s="188">
        <f t="shared" si="216"/>
        <v>0</v>
      </c>
      <c r="F463" s="188">
        <f t="shared" si="216"/>
        <v>0</v>
      </c>
      <c r="G463" s="188">
        <f t="shared" si="216"/>
        <v>0</v>
      </c>
      <c r="H463" s="188">
        <f t="shared" si="216"/>
        <v>0</v>
      </c>
      <c r="I463" s="188">
        <f t="shared" si="216"/>
        <v>0</v>
      </c>
      <c r="J463" s="188">
        <f t="shared" si="216"/>
        <v>0</v>
      </c>
      <c r="K463" s="261">
        <f t="shared" si="215"/>
        <v>0</v>
      </c>
      <c r="L463" s="52"/>
      <c r="M463" s="50"/>
      <c r="N463" s="56"/>
      <c r="O463" s="701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6"/>
    </row>
    <row r="464" spans="1:57" s="48" customFormat="1" x14ac:dyDescent="0.2">
      <c r="A464" s="717"/>
      <c r="B464" s="831"/>
      <c r="C464" s="706"/>
      <c r="D464" s="189">
        <v>2022</v>
      </c>
      <c r="E464" s="188">
        <f t="shared" si="216"/>
        <v>0</v>
      </c>
      <c r="F464" s="188">
        <f t="shared" si="216"/>
        <v>0</v>
      </c>
      <c r="G464" s="188">
        <f t="shared" si="216"/>
        <v>0</v>
      </c>
      <c r="H464" s="188">
        <f t="shared" si="216"/>
        <v>0</v>
      </c>
      <c r="I464" s="188">
        <f t="shared" si="216"/>
        <v>0</v>
      </c>
      <c r="J464" s="188">
        <f t="shared" si="216"/>
        <v>0</v>
      </c>
      <c r="K464" s="261">
        <f t="shared" si="215"/>
        <v>0</v>
      </c>
      <c r="L464" s="52"/>
      <c r="M464" s="50"/>
      <c r="N464" s="56"/>
      <c r="O464" s="701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6"/>
    </row>
    <row r="465" spans="1:57" s="48" customFormat="1" x14ac:dyDescent="0.2">
      <c r="A465" s="717"/>
      <c r="B465" s="831"/>
      <c r="C465" s="706"/>
      <c r="D465" s="189">
        <v>2023</v>
      </c>
      <c r="E465" s="188">
        <f t="shared" si="216"/>
        <v>0</v>
      </c>
      <c r="F465" s="188">
        <f t="shared" si="216"/>
        <v>0</v>
      </c>
      <c r="G465" s="188">
        <f t="shared" si="216"/>
        <v>0</v>
      </c>
      <c r="H465" s="188">
        <f t="shared" si="216"/>
        <v>0</v>
      </c>
      <c r="I465" s="188">
        <f t="shared" si="216"/>
        <v>0</v>
      </c>
      <c r="J465" s="188">
        <f t="shared" si="216"/>
        <v>0</v>
      </c>
      <c r="K465" s="261">
        <f t="shared" si="215"/>
        <v>0</v>
      </c>
      <c r="L465" s="52"/>
      <c r="M465" s="50"/>
      <c r="N465" s="56"/>
      <c r="O465" s="701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6"/>
    </row>
    <row r="466" spans="1:57" s="48" customFormat="1" x14ac:dyDescent="0.2">
      <c r="A466" s="717"/>
      <c r="B466" s="831"/>
      <c r="C466" s="706"/>
      <c r="D466" s="189">
        <v>2024</v>
      </c>
      <c r="E466" s="188">
        <f t="shared" si="216"/>
        <v>0</v>
      </c>
      <c r="F466" s="188">
        <f t="shared" si="216"/>
        <v>0</v>
      </c>
      <c r="G466" s="188">
        <f t="shared" si="216"/>
        <v>0</v>
      </c>
      <c r="H466" s="188">
        <f t="shared" si="216"/>
        <v>0</v>
      </c>
      <c r="I466" s="188">
        <f t="shared" si="216"/>
        <v>0</v>
      </c>
      <c r="J466" s="188">
        <f t="shared" si="216"/>
        <v>0</v>
      </c>
      <c r="K466" s="261">
        <f t="shared" si="215"/>
        <v>0</v>
      </c>
      <c r="L466" s="52"/>
      <c r="M466" s="50"/>
      <c r="N466" s="56"/>
      <c r="O466" s="701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6"/>
    </row>
    <row r="467" spans="1:57" s="48" customFormat="1" x14ac:dyDescent="0.2">
      <c r="A467" s="734"/>
      <c r="B467" s="832"/>
      <c r="C467" s="706"/>
      <c r="D467" s="189">
        <v>2025</v>
      </c>
      <c r="E467" s="188">
        <f t="shared" si="216"/>
        <v>0</v>
      </c>
      <c r="F467" s="188">
        <f t="shared" si="216"/>
        <v>0</v>
      </c>
      <c r="G467" s="188">
        <f t="shared" si="216"/>
        <v>0</v>
      </c>
      <c r="H467" s="188">
        <f t="shared" si="216"/>
        <v>0</v>
      </c>
      <c r="I467" s="188">
        <f t="shared" si="216"/>
        <v>0</v>
      </c>
      <c r="J467" s="188">
        <f t="shared" si="216"/>
        <v>0</v>
      </c>
      <c r="K467" s="261">
        <f t="shared" si="215"/>
        <v>0</v>
      </c>
      <c r="L467" s="52"/>
      <c r="M467" s="50"/>
      <c r="N467" s="56"/>
      <c r="O467" s="701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6"/>
    </row>
    <row r="468" spans="1:57" s="48" customFormat="1" ht="20.25" customHeight="1" x14ac:dyDescent="0.2">
      <c r="A468" s="697" t="s">
        <v>867</v>
      </c>
      <c r="B468" s="631" t="s">
        <v>911</v>
      </c>
      <c r="C468" s="706"/>
      <c r="D468" s="46" t="s">
        <v>198</v>
      </c>
      <c r="E468" s="47">
        <f>E469+E470+E471+E472+E473+E474</f>
        <v>0</v>
      </c>
      <c r="F468" s="47">
        <f t="shared" ref="F468:J468" si="217">F469+F470+F471+F472+F473+F474</f>
        <v>0</v>
      </c>
      <c r="G468" s="47">
        <f t="shared" si="217"/>
        <v>0</v>
      </c>
      <c r="H468" s="47">
        <f t="shared" si="217"/>
        <v>0</v>
      </c>
      <c r="I468" s="47">
        <f t="shared" si="217"/>
        <v>0</v>
      </c>
      <c r="J468" s="47">
        <f t="shared" si="217"/>
        <v>0</v>
      </c>
      <c r="K468" s="261">
        <f t="shared" si="215"/>
        <v>0</v>
      </c>
      <c r="L468" s="806" t="s">
        <v>857</v>
      </c>
      <c r="M468" s="50"/>
      <c r="N468" s="56"/>
      <c r="O468" s="701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6"/>
    </row>
    <row r="469" spans="1:57" s="48" customFormat="1" x14ac:dyDescent="0.2">
      <c r="A469" s="698"/>
      <c r="B469" s="648"/>
      <c r="C469" s="706"/>
      <c r="D469" s="189">
        <v>2020</v>
      </c>
      <c r="E469" s="188">
        <f t="shared" ref="E469:E474" si="218">F469+G469+H469+I469+J469</f>
        <v>0</v>
      </c>
      <c r="F469" s="188">
        <v>0</v>
      </c>
      <c r="G469" s="188">
        <v>0</v>
      </c>
      <c r="H469" s="188">
        <v>0</v>
      </c>
      <c r="I469" s="188">
        <v>0</v>
      </c>
      <c r="J469" s="188">
        <v>0</v>
      </c>
      <c r="K469" s="261">
        <f t="shared" si="215"/>
        <v>0</v>
      </c>
      <c r="L469" s="830"/>
      <c r="M469" s="50"/>
      <c r="N469" s="56"/>
      <c r="O469" s="701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6"/>
    </row>
    <row r="470" spans="1:57" s="48" customFormat="1" x14ac:dyDescent="0.2">
      <c r="A470" s="698"/>
      <c r="B470" s="648"/>
      <c r="C470" s="706"/>
      <c r="D470" s="189">
        <v>2021</v>
      </c>
      <c r="E470" s="188">
        <f t="shared" si="218"/>
        <v>0</v>
      </c>
      <c r="F470" s="188">
        <v>0</v>
      </c>
      <c r="G470" s="188">
        <v>0</v>
      </c>
      <c r="H470" s="188">
        <v>0</v>
      </c>
      <c r="I470" s="188">
        <v>0</v>
      </c>
      <c r="J470" s="188">
        <v>0</v>
      </c>
      <c r="K470" s="261">
        <f t="shared" si="215"/>
        <v>0</v>
      </c>
      <c r="L470" s="830"/>
      <c r="M470" s="50"/>
      <c r="N470" s="56"/>
      <c r="O470" s="701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6"/>
    </row>
    <row r="471" spans="1:57" s="48" customFormat="1" x14ac:dyDescent="0.2">
      <c r="A471" s="698"/>
      <c r="B471" s="648"/>
      <c r="C471" s="706"/>
      <c r="D471" s="189">
        <v>2022</v>
      </c>
      <c r="E471" s="188">
        <f t="shared" si="218"/>
        <v>0</v>
      </c>
      <c r="F471" s="188">
        <v>0</v>
      </c>
      <c r="G471" s="188">
        <v>0</v>
      </c>
      <c r="H471" s="188">
        <v>0</v>
      </c>
      <c r="I471" s="188">
        <v>0</v>
      </c>
      <c r="J471" s="188">
        <v>0</v>
      </c>
      <c r="K471" s="261">
        <f t="shared" si="215"/>
        <v>0</v>
      </c>
      <c r="L471" s="830"/>
      <c r="M471" s="50"/>
      <c r="N471" s="56"/>
      <c r="O471" s="701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6"/>
    </row>
    <row r="472" spans="1:57" s="48" customFormat="1" x14ac:dyDescent="0.2">
      <c r="A472" s="698"/>
      <c r="B472" s="648"/>
      <c r="C472" s="706"/>
      <c r="D472" s="189">
        <v>2023</v>
      </c>
      <c r="E472" s="188">
        <f t="shared" si="218"/>
        <v>0</v>
      </c>
      <c r="F472" s="188">
        <v>0</v>
      </c>
      <c r="G472" s="188">
        <v>0</v>
      </c>
      <c r="H472" s="188">
        <v>0</v>
      </c>
      <c r="I472" s="188">
        <v>0</v>
      </c>
      <c r="J472" s="188">
        <v>0</v>
      </c>
      <c r="K472" s="261">
        <f t="shared" si="215"/>
        <v>0</v>
      </c>
      <c r="L472" s="830"/>
      <c r="M472" s="50"/>
      <c r="N472" s="56"/>
      <c r="O472" s="701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6"/>
    </row>
    <row r="473" spans="1:57" s="48" customFormat="1" x14ac:dyDescent="0.2">
      <c r="A473" s="698"/>
      <c r="B473" s="648"/>
      <c r="C473" s="706"/>
      <c r="D473" s="189">
        <v>2024</v>
      </c>
      <c r="E473" s="188">
        <f t="shared" si="218"/>
        <v>0</v>
      </c>
      <c r="F473" s="188">
        <v>0</v>
      </c>
      <c r="G473" s="188">
        <v>0</v>
      </c>
      <c r="H473" s="188">
        <v>0</v>
      </c>
      <c r="I473" s="188">
        <v>0</v>
      </c>
      <c r="J473" s="188">
        <v>0</v>
      </c>
      <c r="K473" s="261">
        <f t="shared" si="215"/>
        <v>0</v>
      </c>
      <c r="L473" s="830"/>
      <c r="M473" s="50"/>
      <c r="N473" s="56"/>
      <c r="O473" s="701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6"/>
    </row>
    <row r="474" spans="1:57" s="48" customFormat="1" x14ac:dyDescent="0.2">
      <c r="A474" s="699"/>
      <c r="B474" s="632"/>
      <c r="C474" s="706"/>
      <c r="D474" s="189">
        <v>2025</v>
      </c>
      <c r="E474" s="188">
        <f t="shared" si="218"/>
        <v>0</v>
      </c>
      <c r="F474" s="188">
        <v>0</v>
      </c>
      <c r="G474" s="188">
        <v>0</v>
      </c>
      <c r="H474" s="188">
        <v>0</v>
      </c>
      <c r="I474" s="188">
        <v>0</v>
      </c>
      <c r="J474" s="188">
        <v>0</v>
      </c>
      <c r="K474" s="261">
        <f t="shared" si="215"/>
        <v>0</v>
      </c>
      <c r="L474" s="807"/>
      <c r="M474" s="50"/>
      <c r="N474" s="56"/>
      <c r="O474" s="701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6"/>
    </row>
    <row r="475" spans="1:57" s="48" customFormat="1" x14ac:dyDescent="0.2">
      <c r="A475" s="697" t="s">
        <v>670</v>
      </c>
      <c r="B475" s="631" t="s">
        <v>912</v>
      </c>
      <c r="C475" s="706"/>
      <c r="D475" s="46" t="s">
        <v>198</v>
      </c>
      <c r="E475" s="47">
        <f>E476+E477+E478+E479+E480+E481</f>
        <v>0</v>
      </c>
      <c r="F475" s="47">
        <f t="shared" ref="F475:J475" si="219">F476+F477+F478+F479+F480+F481</f>
        <v>0</v>
      </c>
      <c r="G475" s="47">
        <f t="shared" si="219"/>
        <v>0</v>
      </c>
      <c r="H475" s="47">
        <f t="shared" si="219"/>
        <v>0</v>
      </c>
      <c r="I475" s="47">
        <f t="shared" si="219"/>
        <v>0</v>
      </c>
      <c r="J475" s="47">
        <f t="shared" si="219"/>
        <v>0</v>
      </c>
      <c r="K475" s="261">
        <f t="shared" si="215"/>
        <v>0</v>
      </c>
      <c r="L475" s="806" t="s">
        <v>475</v>
      </c>
      <c r="M475" s="50"/>
      <c r="N475" s="56"/>
      <c r="O475" s="701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6"/>
    </row>
    <row r="476" spans="1:57" s="48" customFormat="1" x14ac:dyDescent="0.2">
      <c r="A476" s="717"/>
      <c r="B476" s="701"/>
      <c r="C476" s="706"/>
      <c r="D476" s="189">
        <v>2020</v>
      </c>
      <c r="E476" s="188">
        <f t="shared" ref="E476:E481" si="220">F476+G476+H476+I476+J476</f>
        <v>0</v>
      </c>
      <c r="F476" s="188">
        <v>0</v>
      </c>
      <c r="G476" s="188">
        <v>0</v>
      </c>
      <c r="H476" s="188">
        <v>0</v>
      </c>
      <c r="I476" s="188">
        <v>0</v>
      </c>
      <c r="J476" s="188">
        <v>0</v>
      </c>
      <c r="K476" s="261">
        <f t="shared" si="215"/>
        <v>0</v>
      </c>
      <c r="L476" s="636"/>
      <c r="M476" s="50"/>
      <c r="N476" s="56"/>
      <c r="O476" s="701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6"/>
    </row>
    <row r="477" spans="1:57" s="48" customFormat="1" x14ac:dyDescent="0.2">
      <c r="A477" s="717"/>
      <c r="B477" s="701"/>
      <c r="C477" s="706"/>
      <c r="D477" s="189">
        <v>2021</v>
      </c>
      <c r="E477" s="188">
        <f t="shared" si="220"/>
        <v>0</v>
      </c>
      <c r="F477" s="188">
        <v>0</v>
      </c>
      <c r="G477" s="188">
        <v>0</v>
      </c>
      <c r="H477" s="188">
        <v>0</v>
      </c>
      <c r="I477" s="188">
        <v>0</v>
      </c>
      <c r="J477" s="188">
        <v>0</v>
      </c>
      <c r="K477" s="261">
        <f t="shared" si="215"/>
        <v>0</v>
      </c>
      <c r="L477" s="636"/>
      <c r="M477" s="50"/>
      <c r="N477" s="56"/>
      <c r="O477" s="701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6"/>
    </row>
    <row r="478" spans="1:57" s="48" customFormat="1" x14ac:dyDescent="0.2">
      <c r="A478" s="717"/>
      <c r="B478" s="701"/>
      <c r="C478" s="706"/>
      <c r="D478" s="189">
        <v>2022</v>
      </c>
      <c r="E478" s="188">
        <f>F478+G478+H478</f>
        <v>0</v>
      </c>
      <c r="F478" s="188">
        <v>0</v>
      </c>
      <c r="G478" s="188">
        <v>0</v>
      </c>
      <c r="H478" s="188">
        <v>0</v>
      </c>
      <c r="I478" s="188">
        <v>0</v>
      </c>
      <c r="J478" s="188">
        <v>0</v>
      </c>
      <c r="K478" s="261">
        <f t="shared" si="215"/>
        <v>0</v>
      </c>
      <c r="L478" s="636"/>
      <c r="M478" s="50"/>
      <c r="N478" s="56"/>
      <c r="O478" s="701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6"/>
    </row>
    <row r="479" spans="1:57" s="48" customFormat="1" x14ac:dyDescent="0.2">
      <c r="A479" s="717"/>
      <c r="B479" s="701"/>
      <c r="C479" s="706"/>
      <c r="D479" s="189">
        <v>2023</v>
      </c>
      <c r="E479" s="188">
        <f t="shared" si="220"/>
        <v>0</v>
      </c>
      <c r="F479" s="188">
        <v>0</v>
      </c>
      <c r="G479" s="188">
        <v>0</v>
      </c>
      <c r="H479" s="188">
        <v>0</v>
      </c>
      <c r="I479" s="188">
        <v>0</v>
      </c>
      <c r="J479" s="188">
        <v>0</v>
      </c>
      <c r="K479" s="261">
        <f t="shared" si="215"/>
        <v>0</v>
      </c>
      <c r="L479" s="636"/>
      <c r="M479" s="50"/>
      <c r="N479" s="56"/>
      <c r="O479" s="701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6"/>
    </row>
    <row r="480" spans="1:57" s="48" customFormat="1" x14ac:dyDescent="0.2">
      <c r="A480" s="717"/>
      <c r="B480" s="701"/>
      <c r="C480" s="706"/>
      <c r="D480" s="189">
        <v>2024</v>
      </c>
      <c r="E480" s="188">
        <f t="shared" si="220"/>
        <v>0</v>
      </c>
      <c r="F480" s="188">
        <v>0</v>
      </c>
      <c r="G480" s="188">
        <v>0</v>
      </c>
      <c r="H480" s="188">
        <v>0</v>
      </c>
      <c r="I480" s="188">
        <v>0</v>
      </c>
      <c r="J480" s="188">
        <v>0</v>
      </c>
      <c r="K480" s="261">
        <f t="shared" si="215"/>
        <v>0</v>
      </c>
      <c r="L480" s="636"/>
      <c r="M480" s="50"/>
      <c r="N480" s="56"/>
      <c r="O480" s="701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6"/>
    </row>
    <row r="481" spans="1:57" s="48" customFormat="1" x14ac:dyDescent="0.2">
      <c r="A481" s="734"/>
      <c r="B481" s="702"/>
      <c r="C481" s="706"/>
      <c r="D481" s="189">
        <v>2025</v>
      </c>
      <c r="E481" s="188">
        <f t="shared" si="220"/>
        <v>0</v>
      </c>
      <c r="F481" s="188">
        <v>0</v>
      </c>
      <c r="G481" s="188">
        <v>0</v>
      </c>
      <c r="H481" s="188">
        <v>0</v>
      </c>
      <c r="I481" s="188">
        <v>0</v>
      </c>
      <c r="J481" s="188">
        <v>0</v>
      </c>
      <c r="K481" s="261">
        <f t="shared" si="215"/>
        <v>0</v>
      </c>
      <c r="L481" s="637"/>
      <c r="M481" s="50"/>
      <c r="N481" s="56"/>
      <c r="O481" s="702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6"/>
    </row>
    <row r="482" spans="1:57" s="48" customFormat="1" ht="12.75" customHeight="1" x14ac:dyDescent="0.2">
      <c r="A482" s="697" t="s">
        <v>172</v>
      </c>
      <c r="B482" s="631" t="s">
        <v>582</v>
      </c>
      <c r="C482" s="706"/>
      <c r="D482" s="46" t="s">
        <v>198</v>
      </c>
      <c r="E482" s="47">
        <f>E483+E484+E485</f>
        <v>127.71299999999999</v>
      </c>
      <c r="F482" s="47">
        <f t="shared" ref="F482:J482" si="221">F483+F484+F485</f>
        <v>0</v>
      </c>
      <c r="G482" s="47">
        <f t="shared" si="221"/>
        <v>0</v>
      </c>
      <c r="H482" s="47">
        <f>H483+H484+H485</f>
        <v>123.8814</v>
      </c>
      <c r="I482" s="47">
        <f t="shared" si="221"/>
        <v>0</v>
      </c>
      <c r="J482" s="47">
        <f t="shared" si="221"/>
        <v>3.8315999999999999</v>
      </c>
      <c r="K482" s="261">
        <f t="shared" si="215"/>
        <v>127.71299999999999</v>
      </c>
      <c r="L482" s="100"/>
      <c r="M482" s="101"/>
      <c r="N482" s="57"/>
      <c r="O482" s="631" t="s">
        <v>228</v>
      </c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6"/>
    </row>
    <row r="483" spans="1:57" s="48" customFormat="1" ht="17.25" customHeight="1" x14ac:dyDescent="0.2">
      <c r="A483" s="698"/>
      <c r="B483" s="648"/>
      <c r="C483" s="706"/>
      <c r="D483" s="189">
        <v>2019</v>
      </c>
      <c r="E483" s="188">
        <f>F483+G483+H483+I483+J483</f>
        <v>22.7471</v>
      </c>
      <c r="F483" s="188">
        <v>0</v>
      </c>
      <c r="G483" s="188">
        <v>0</v>
      </c>
      <c r="H483" s="188">
        <v>22.064599999999999</v>
      </c>
      <c r="I483" s="188">
        <v>0</v>
      </c>
      <c r="J483" s="188">
        <v>0.6825</v>
      </c>
      <c r="K483" s="261">
        <f t="shared" si="215"/>
        <v>22.7471</v>
      </c>
      <c r="L483" s="100"/>
      <c r="M483" s="101"/>
      <c r="N483" s="57"/>
      <c r="O483" s="648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6"/>
    </row>
    <row r="484" spans="1:57" s="48" customFormat="1" ht="13.5" customHeight="1" x14ac:dyDescent="0.2">
      <c r="A484" s="698"/>
      <c r="B484" s="648"/>
      <c r="C484" s="706"/>
      <c r="D484" s="189">
        <v>2020</v>
      </c>
      <c r="E484" s="188">
        <f t="shared" ref="E484:E485" si="222">F484+G484+H484+I484+J484</f>
        <v>22.3827</v>
      </c>
      <c r="F484" s="188">
        <v>0</v>
      </c>
      <c r="G484" s="188">
        <v>0</v>
      </c>
      <c r="H484" s="188">
        <v>21.711200000000002</v>
      </c>
      <c r="I484" s="188">
        <v>0</v>
      </c>
      <c r="J484" s="188">
        <v>0.67149999999999999</v>
      </c>
      <c r="K484" s="261">
        <f t="shared" si="215"/>
        <v>22.3827</v>
      </c>
      <c r="L484" s="100"/>
      <c r="M484" s="101"/>
      <c r="N484" s="57"/>
      <c r="O484" s="648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6"/>
    </row>
    <row r="485" spans="1:57" s="48" customFormat="1" ht="18.75" customHeight="1" x14ac:dyDescent="0.2">
      <c r="A485" s="698"/>
      <c r="B485" s="648"/>
      <c r="C485" s="730"/>
      <c r="D485" s="189">
        <v>2021</v>
      </c>
      <c r="E485" s="188">
        <f t="shared" si="222"/>
        <v>82.583199999999991</v>
      </c>
      <c r="F485" s="188">
        <v>0</v>
      </c>
      <c r="G485" s="188">
        <v>0</v>
      </c>
      <c r="H485" s="188">
        <v>80.105599999999995</v>
      </c>
      <c r="I485" s="188">
        <v>0</v>
      </c>
      <c r="J485" s="188">
        <v>2.4775999999999998</v>
      </c>
      <c r="K485" s="261">
        <f t="shared" si="215"/>
        <v>82.583199999999991</v>
      </c>
      <c r="L485" s="100"/>
      <c r="M485" s="101"/>
      <c r="N485" s="57"/>
      <c r="O485" s="648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6"/>
    </row>
    <row r="486" spans="1:57" s="48" customFormat="1" ht="18" customHeight="1" x14ac:dyDescent="0.2">
      <c r="A486" s="697" t="s">
        <v>174</v>
      </c>
      <c r="B486" s="739" t="s">
        <v>229</v>
      </c>
      <c r="C486" s="739" t="s">
        <v>386</v>
      </c>
      <c r="D486" s="46" t="s">
        <v>198</v>
      </c>
      <c r="E486" s="47">
        <f>E487+E488+E489+E490+E491+E492</f>
        <v>6798.12</v>
      </c>
      <c r="F486" s="47">
        <f t="shared" ref="F486:J486" si="223">F487</f>
        <v>0</v>
      </c>
      <c r="G486" s="47">
        <f t="shared" si="223"/>
        <v>0</v>
      </c>
      <c r="H486" s="47">
        <f t="shared" si="223"/>
        <v>0</v>
      </c>
      <c r="I486" s="47">
        <f>I487+I488+I489+I490+I491+I492</f>
        <v>6798.12</v>
      </c>
      <c r="J486" s="47">
        <f t="shared" si="223"/>
        <v>0</v>
      </c>
      <c r="K486" s="261">
        <f t="shared" si="215"/>
        <v>6798.12</v>
      </c>
      <c r="L486" s="760"/>
      <c r="M486" s="827">
        <v>50</v>
      </c>
      <c r="N486" s="828"/>
      <c r="O486" s="746" t="s">
        <v>390</v>
      </c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6"/>
    </row>
    <row r="487" spans="1:57" s="48" customFormat="1" x14ac:dyDescent="0.2">
      <c r="A487" s="671"/>
      <c r="B487" s="740"/>
      <c r="C487" s="701"/>
      <c r="D487" s="189">
        <v>2019</v>
      </c>
      <c r="E487" s="188">
        <f>F487+G487+H487+I487+J487</f>
        <v>589.02</v>
      </c>
      <c r="F487" s="188">
        <v>0</v>
      </c>
      <c r="G487" s="188">
        <v>0</v>
      </c>
      <c r="H487" s="188">
        <v>0</v>
      </c>
      <c r="I487" s="188">
        <v>589.02</v>
      </c>
      <c r="J487" s="188">
        <v>0</v>
      </c>
      <c r="K487" s="261">
        <f t="shared" si="215"/>
        <v>589.02</v>
      </c>
      <c r="L487" s="777"/>
      <c r="M487" s="827"/>
      <c r="N487" s="829"/>
      <c r="O487" s="748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6"/>
    </row>
    <row r="488" spans="1:57" s="48" customFormat="1" x14ac:dyDescent="0.2">
      <c r="A488" s="141"/>
      <c r="B488" s="740"/>
      <c r="C488" s="250"/>
      <c r="D488" s="189">
        <v>2020</v>
      </c>
      <c r="E488" s="188">
        <f t="shared" ref="E488:E492" si="224">F488+G488+H488+I488+J488</f>
        <v>4620.8</v>
      </c>
      <c r="F488" s="188">
        <v>0</v>
      </c>
      <c r="G488" s="188">
        <v>0</v>
      </c>
      <c r="H488" s="188">
        <v>0</v>
      </c>
      <c r="I488" s="188">
        <v>4620.8</v>
      </c>
      <c r="J488" s="188">
        <v>0</v>
      </c>
      <c r="K488" s="261">
        <f t="shared" si="215"/>
        <v>4620.8</v>
      </c>
      <c r="L488" s="175"/>
      <c r="M488" s="230"/>
      <c r="N488" s="231"/>
      <c r="O488" s="149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6"/>
    </row>
    <row r="489" spans="1:57" s="48" customFormat="1" x14ac:dyDescent="0.2">
      <c r="A489" s="141"/>
      <c r="B489" s="740"/>
      <c r="C489" s="250"/>
      <c r="D489" s="189">
        <v>2021</v>
      </c>
      <c r="E489" s="188">
        <f t="shared" si="224"/>
        <v>419.8</v>
      </c>
      <c r="F489" s="188">
        <v>0</v>
      </c>
      <c r="G489" s="188">
        <v>0</v>
      </c>
      <c r="H489" s="188">
        <v>0</v>
      </c>
      <c r="I489" s="188">
        <v>419.8</v>
      </c>
      <c r="J489" s="188">
        <v>0</v>
      </c>
      <c r="K489" s="261">
        <f t="shared" si="215"/>
        <v>419.8</v>
      </c>
      <c r="L489" s="175"/>
      <c r="M489" s="230"/>
      <c r="N489" s="231"/>
      <c r="O489" s="149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6"/>
    </row>
    <row r="490" spans="1:57" s="48" customFormat="1" x14ac:dyDescent="0.2">
      <c r="A490" s="141"/>
      <c r="B490" s="740"/>
      <c r="C490" s="250"/>
      <c r="D490" s="189">
        <v>2022</v>
      </c>
      <c r="E490" s="188">
        <f t="shared" si="224"/>
        <v>595.29999999999995</v>
      </c>
      <c r="F490" s="188">
        <v>0</v>
      </c>
      <c r="G490" s="188">
        <v>0</v>
      </c>
      <c r="H490" s="188">
        <v>0</v>
      </c>
      <c r="I490" s="188">
        <v>595.29999999999995</v>
      </c>
      <c r="J490" s="188">
        <v>0</v>
      </c>
      <c r="K490" s="261">
        <f t="shared" si="215"/>
        <v>595.29999999999995</v>
      </c>
      <c r="L490" s="175"/>
      <c r="M490" s="230"/>
      <c r="N490" s="231"/>
      <c r="O490" s="149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6"/>
    </row>
    <row r="491" spans="1:57" s="48" customFormat="1" x14ac:dyDescent="0.2">
      <c r="A491" s="141"/>
      <c r="B491" s="740"/>
      <c r="C491" s="250"/>
      <c r="D491" s="189">
        <v>2023</v>
      </c>
      <c r="E491" s="188">
        <f t="shared" si="224"/>
        <v>533.5</v>
      </c>
      <c r="F491" s="188">
        <v>0</v>
      </c>
      <c r="G491" s="188">
        <v>0</v>
      </c>
      <c r="H491" s="188">
        <v>0</v>
      </c>
      <c r="I491" s="188">
        <v>533.5</v>
      </c>
      <c r="J491" s="188">
        <v>0</v>
      </c>
      <c r="K491" s="261">
        <f t="shared" si="215"/>
        <v>533.5</v>
      </c>
      <c r="L491" s="175"/>
      <c r="M491" s="230"/>
      <c r="N491" s="231"/>
      <c r="O491" s="149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6"/>
    </row>
    <row r="492" spans="1:57" s="48" customFormat="1" x14ac:dyDescent="0.2">
      <c r="A492" s="141"/>
      <c r="B492" s="741"/>
      <c r="C492" s="250"/>
      <c r="D492" s="189">
        <v>2024</v>
      </c>
      <c r="E492" s="188">
        <f t="shared" si="224"/>
        <v>39.700000000000003</v>
      </c>
      <c r="F492" s="188">
        <v>0</v>
      </c>
      <c r="G492" s="188">
        <v>0</v>
      </c>
      <c r="H492" s="188">
        <v>0</v>
      </c>
      <c r="I492" s="188">
        <v>39.700000000000003</v>
      </c>
      <c r="J492" s="188">
        <v>0</v>
      </c>
      <c r="K492" s="261">
        <f t="shared" si="215"/>
        <v>39.700000000000003</v>
      </c>
      <c r="L492" s="175"/>
      <c r="M492" s="230"/>
      <c r="N492" s="231"/>
      <c r="O492" s="149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6"/>
    </row>
    <row r="493" spans="1:57" s="48" customFormat="1" ht="12.75" customHeight="1" x14ac:dyDescent="0.2">
      <c r="A493" s="662" t="s">
        <v>812</v>
      </c>
      <c r="B493" s="631" t="s">
        <v>813</v>
      </c>
      <c r="C493" s="631" t="s">
        <v>839</v>
      </c>
      <c r="D493" s="46" t="s">
        <v>198</v>
      </c>
      <c r="E493" s="47">
        <f>E494</f>
        <v>5.05</v>
      </c>
      <c r="F493" s="47">
        <f t="shared" ref="F493:J493" si="225">F494</f>
        <v>0</v>
      </c>
      <c r="G493" s="47">
        <f t="shared" si="225"/>
        <v>0</v>
      </c>
      <c r="H493" s="47">
        <f t="shared" si="225"/>
        <v>5</v>
      </c>
      <c r="I493" s="47">
        <f t="shared" si="225"/>
        <v>0</v>
      </c>
      <c r="J493" s="47">
        <f t="shared" si="225"/>
        <v>0.05</v>
      </c>
      <c r="K493" s="261">
        <f t="shared" si="215"/>
        <v>5.05</v>
      </c>
      <c r="L493" s="232"/>
      <c r="M493" s="77"/>
      <c r="N493" s="231"/>
      <c r="O493" s="147" t="s">
        <v>236</v>
      </c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6"/>
    </row>
    <row r="494" spans="1:57" s="48" customFormat="1" ht="42" customHeight="1" x14ac:dyDescent="0.2">
      <c r="A494" s="664"/>
      <c r="B494" s="632"/>
      <c r="C494" s="632"/>
      <c r="D494" s="189">
        <v>2020</v>
      </c>
      <c r="E494" s="188">
        <f>F494+G494+H494+I494+J494</f>
        <v>5.05</v>
      </c>
      <c r="F494" s="188">
        <v>0</v>
      </c>
      <c r="G494" s="188">
        <v>0</v>
      </c>
      <c r="H494" s="188">
        <v>5</v>
      </c>
      <c r="I494" s="188">
        <v>0</v>
      </c>
      <c r="J494" s="188">
        <v>0.05</v>
      </c>
      <c r="K494" s="261">
        <f t="shared" si="215"/>
        <v>5.05</v>
      </c>
      <c r="L494" s="233" t="s">
        <v>814</v>
      </c>
      <c r="M494" s="77"/>
      <c r="N494" s="231"/>
      <c r="O494" s="149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6"/>
    </row>
    <row r="495" spans="1:57" s="48" customFormat="1" ht="51" customHeight="1" x14ac:dyDescent="0.2">
      <c r="A495" s="662" t="s">
        <v>815</v>
      </c>
      <c r="B495" s="631" t="s">
        <v>816</v>
      </c>
      <c r="C495" s="631" t="s">
        <v>1049</v>
      </c>
      <c r="D495" s="46" t="s">
        <v>198</v>
      </c>
      <c r="E495" s="47">
        <f>E496+E497</f>
        <v>1116.9765</v>
      </c>
      <c r="F495" s="47">
        <f t="shared" ref="F495:J495" si="226">F496+F497</f>
        <v>0</v>
      </c>
      <c r="G495" s="47">
        <f t="shared" si="226"/>
        <v>211.04910000000001</v>
      </c>
      <c r="H495" s="47">
        <f t="shared" si="226"/>
        <v>905.92739999999992</v>
      </c>
      <c r="I495" s="47">
        <f t="shared" si="226"/>
        <v>0</v>
      </c>
      <c r="J495" s="47">
        <f t="shared" si="226"/>
        <v>0</v>
      </c>
      <c r="K495" s="261">
        <f t="shared" si="215"/>
        <v>1116.9765</v>
      </c>
      <c r="L495" s="824" t="s">
        <v>818</v>
      </c>
      <c r="M495" s="77"/>
      <c r="N495" s="231"/>
      <c r="O495" s="746" t="s">
        <v>817</v>
      </c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6"/>
    </row>
    <row r="496" spans="1:57" s="48" customFormat="1" ht="21" customHeight="1" x14ac:dyDescent="0.2">
      <c r="A496" s="663"/>
      <c r="B496" s="648"/>
      <c r="C496" s="648"/>
      <c r="D496" s="189">
        <v>2019</v>
      </c>
      <c r="E496" s="188">
        <f>F496+G496+H496+I496+J496</f>
        <v>299.50909999999999</v>
      </c>
      <c r="F496" s="188">
        <v>0</v>
      </c>
      <c r="G496" s="188">
        <v>99.615399999999994</v>
      </c>
      <c r="H496" s="188">
        <v>199.8937</v>
      </c>
      <c r="I496" s="188">
        <v>0</v>
      </c>
      <c r="J496" s="188">
        <v>0</v>
      </c>
      <c r="K496" s="261">
        <f t="shared" si="215"/>
        <v>299.50909999999999</v>
      </c>
      <c r="L496" s="825"/>
      <c r="M496" s="77"/>
      <c r="N496" s="231"/>
      <c r="O496" s="747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6"/>
    </row>
    <row r="497" spans="1:57" s="48" customFormat="1" x14ac:dyDescent="0.2">
      <c r="A497" s="664"/>
      <c r="B497" s="632"/>
      <c r="C497" s="632"/>
      <c r="D497" s="189">
        <v>2020</v>
      </c>
      <c r="E497" s="188">
        <f>F497+G497+H497+I497+J497</f>
        <v>817.4674</v>
      </c>
      <c r="F497" s="188">
        <v>0</v>
      </c>
      <c r="G497" s="188">
        <v>111.4337</v>
      </c>
      <c r="H497" s="188">
        <v>706.03369999999995</v>
      </c>
      <c r="I497" s="188">
        <v>0</v>
      </c>
      <c r="J497" s="188">
        <v>0</v>
      </c>
      <c r="K497" s="261">
        <f t="shared" si="215"/>
        <v>817.4674</v>
      </c>
      <c r="L497" s="826"/>
      <c r="M497" s="77"/>
      <c r="N497" s="231"/>
      <c r="O497" s="748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6"/>
    </row>
    <row r="498" spans="1:57" s="48" customFormat="1" ht="21" customHeight="1" x14ac:dyDescent="0.2">
      <c r="A498" s="662" t="s">
        <v>858</v>
      </c>
      <c r="B498" s="681" t="s">
        <v>991</v>
      </c>
      <c r="D498" s="46" t="s">
        <v>198</v>
      </c>
      <c r="E498" s="47">
        <f>E499+E500+E501+E502+E503+E504+E505</f>
        <v>74.303599999999989</v>
      </c>
      <c r="F498" s="47">
        <f>F499+F500+F501+F502+F503+F504+F505</f>
        <v>74.303599999999989</v>
      </c>
      <c r="G498" s="47">
        <f t="shared" ref="G498:J498" si="227">G499+G500+G501</f>
        <v>0</v>
      </c>
      <c r="H498" s="47">
        <f t="shared" si="227"/>
        <v>0</v>
      </c>
      <c r="I498" s="47">
        <f t="shared" si="227"/>
        <v>0</v>
      </c>
      <c r="J498" s="47">
        <f t="shared" si="227"/>
        <v>0</v>
      </c>
      <c r="K498" s="261">
        <f t="shared" si="215"/>
        <v>74.303599999999989</v>
      </c>
      <c r="L498" s="234"/>
      <c r="M498" s="77"/>
      <c r="N498" s="231"/>
      <c r="O498" s="788" t="s">
        <v>599</v>
      </c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6"/>
    </row>
    <row r="499" spans="1:57" s="48" customFormat="1" ht="51" x14ac:dyDescent="0.2">
      <c r="A499" s="663"/>
      <c r="B499" s="681"/>
      <c r="C499" s="183" t="s">
        <v>540</v>
      </c>
      <c r="D499" s="189">
        <v>2019</v>
      </c>
      <c r="E499" s="188">
        <f>F499+G499+H499+I499+J499</f>
        <v>7.9199000000000002</v>
      </c>
      <c r="F499" s="188">
        <v>7.9199000000000002</v>
      </c>
      <c r="G499" s="188">
        <v>0</v>
      </c>
      <c r="H499" s="188">
        <v>0</v>
      </c>
      <c r="I499" s="188">
        <v>0</v>
      </c>
      <c r="J499" s="188">
        <v>0</v>
      </c>
      <c r="K499" s="261">
        <f t="shared" si="215"/>
        <v>7.9199000000000002</v>
      </c>
      <c r="L499" s="234"/>
      <c r="M499" s="77"/>
      <c r="N499" s="231"/>
      <c r="O499" s="789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6"/>
    </row>
    <row r="500" spans="1:57" s="131" customFormat="1" x14ac:dyDescent="0.2">
      <c r="A500" s="663"/>
      <c r="B500" s="638" t="s">
        <v>999</v>
      </c>
      <c r="C500" s="638" t="s">
        <v>998</v>
      </c>
      <c r="D500" s="132">
        <v>2020</v>
      </c>
      <c r="E500" s="133">
        <f t="shared" ref="E500:E505" si="228">F500+G500+H500+I500+J500</f>
        <v>8.3096999999999994</v>
      </c>
      <c r="F500" s="133">
        <v>8.3096999999999994</v>
      </c>
      <c r="G500" s="133">
        <v>0</v>
      </c>
      <c r="H500" s="133">
        <v>0</v>
      </c>
      <c r="I500" s="133">
        <v>0</v>
      </c>
      <c r="J500" s="133">
        <v>0</v>
      </c>
      <c r="K500" s="136">
        <f t="shared" si="215"/>
        <v>8.3096999999999994</v>
      </c>
      <c r="L500" s="404"/>
      <c r="M500" s="405"/>
      <c r="N500" s="406"/>
      <c r="O500" s="78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29"/>
      <c r="AZ500" s="129"/>
      <c r="BA500" s="129"/>
      <c r="BB500" s="129"/>
      <c r="BC500" s="129"/>
      <c r="BD500" s="129"/>
      <c r="BE500" s="130"/>
    </row>
    <row r="501" spans="1:57" s="131" customFormat="1" ht="12.75" customHeight="1" x14ac:dyDescent="0.2">
      <c r="A501" s="663"/>
      <c r="B501" s="639"/>
      <c r="C501" s="639"/>
      <c r="D501" s="132">
        <v>2021</v>
      </c>
      <c r="E501" s="133">
        <f t="shared" si="228"/>
        <v>8.391</v>
      </c>
      <c r="F501" s="133">
        <v>8.391</v>
      </c>
      <c r="G501" s="133">
        <v>0</v>
      </c>
      <c r="H501" s="133">
        <v>0</v>
      </c>
      <c r="I501" s="133">
        <v>0</v>
      </c>
      <c r="J501" s="133">
        <v>0</v>
      </c>
      <c r="K501" s="136">
        <f t="shared" si="215"/>
        <v>8.391</v>
      </c>
      <c r="L501" s="404"/>
      <c r="M501" s="405"/>
      <c r="N501" s="406"/>
      <c r="O501" s="78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129"/>
      <c r="AO501" s="129"/>
      <c r="AP501" s="129"/>
      <c r="AQ501" s="129"/>
      <c r="AR501" s="129"/>
      <c r="AS501" s="129"/>
      <c r="AT501" s="129"/>
      <c r="AU501" s="129"/>
      <c r="AV501" s="129"/>
      <c r="AW501" s="129"/>
      <c r="AX501" s="129"/>
      <c r="AY501" s="129"/>
      <c r="AZ501" s="129"/>
      <c r="BA501" s="129"/>
      <c r="BB501" s="129"/>
      <c r="BC501" s="129"/>
      <c r="BD501" s="129"/>
      <c r="BE501" s="130"/>
    </row>
    <row r="502" spans="1:57" s="131" customFormat="1" x14ac:dyDescent="0.2">
      <c r="A502" s="663"/>
      <c r="B502" s="639"/>
      <c r="C502" s="639"/>
      <c r="D502" s="132">
        <v>2022</v>
      </c>
      <c r="E502" s="133">
        <f t="shared" si="228"/>
        <v>8.7950999999999997</v>
      </c>
      <c r="F502" s="133">
        <v>8.7950999999999997</v>
      </c>
      <c r="G502" s="133">
        <v>0</v>
      </c>
      <c r="H502" s="133">
        <v>0</v>
      </c>
      <c r="I502" s="133">
        <v>0</v>
      </c>
      <c r="J502" s="133">
        <v>0</v>
      </c>
      <c r="K502" s="136">
        <f t="shared" si="215"/>
        <v>8.7950999999999997</v>
      </c>
      <c r="L502" s="404"/>
      <c r="M502" s="405"/>
      <c r="N502" s="406"/>
      <c r="O502" s="78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  <c r="AT502" s="129"/>
      <c r="AU502" s="129"/>
      <c r="AV502" s="129"/>
      <c r="AW502" s="129"/>
      <c r="AX502" s="129"/>
      <c r="AY502" s="129"/>
      <c r="AZ502" s="129"/>
      <c r="BA502" s="129"/>
      <c r="BB502" s="129"/>
      <c r="BC502" s="129"/>
      <c r="BD502" s="129"/>
      <c r="BE502" s="130"/>
    </row>
    <row r="503" spans="1:57" s="48" customFormat="1" ht="17.25" customHeight="1" x14ac:dyDescent="0.2">
      <c r="A503" s="663"/>
      <c r="B503" s="639"/>
      <c r="C503" s="639"/>
      <c r="D503" s="189">
        <v>2023</v>
      </c>
      <c r="E503" s="188">
        <f t="shared" si="228"/>
        <v>13.0984</v>
      </c>
      <c r="F503" s="188">
        <v>13.0984</v>
      </c>
      <c r="G503" s="188">
        <v>0</v>
      </c>
      <c r="H503" s="188">
        <v>0</v>
      </c>
      <c r="I503" s="188">
        <v>0</v>
      </c>
      <c r="J503" s="188">
        <v>0</v>
      </c>
      <c r="K503" s="261">
        <f t="shared" si="215"/>
        <v>13.0984</v>
      </c>
      <c r="L503" s="234"/>
      <c r="M503" s="77"/>
      <c r="N503" s="231"/>
      <c r="O503" s="789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6"/>
    </row>
    <row r="504" spans="1:57" s="48" customFormat="1" x14ac:dyDescent="0.2">
      <c r="A504" s="663"/>
      <c r="B504" s="639"/>
      <c r="C504" s="639"/>
      <c r="D504" s="189">
        <v>2024</v>
      </c>
      <c r="E504" s="188">
        <f t="shared" si="228"/>
        <v>13.622299999999999</v>
      </c>
      <c r="F504" s="188">
        <v>13.622299999999999</v>
      </c>
      <c r="G504" s="188">
        <v>0</v>
      </c>
      <c r="H504" s="188">
        <v>0</v>
      </c>
      <c r="I504" s="188">
        <v>0</v>
      </c>
      <c r="J504" s="188">
        <v>0</v>
      </c>
      <c r="K504" s="261">
        <f t="shared" si="215"/>
        <v>13.622299999999999</v>
      </c>
      <c r="L504" s="234"/>
      <c r="M504" s="77"/>
      <c r="N504" s="231"/>
      <c r="O504" s="789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6"/>
    </row>
    <row r="505" spans="1:57" s="48" customFormat="1" x14ac:dyDescent="0.2">
      <c r="A505" s="664"/>
      <c r="B505" s="640"/>
      <c r="C505" s="640"/>
      <c r="D505" s="189">
        <v>2025</v>
      </c>
      <c r="E505" s="188">
        <f t="shared" si="228"/>
        <v>14.167199999999999</v>
      </c>
      <c r="F505" s="60">
        <v>14.167199999999999</v>
      </c>
      <c r="G505" s="188">
        <v>0</v>
      </c>
      <c r="H505" s="188">
        <v>0</v>
      </c>
      <c r="I505" s="188">
        <v>0</v>
      </c>
      <c r="J505" s="188">
        <v>0</v>
      </c>
      <c r="K505" s="261">
        <f t="shared" si="215"/>
        <v>14.167199999999999</v>
      </c>
      <c r="L505" s="234"/>
      <c r="M505" s="77"/>
      <c r="N505" s="231"/>
      <c r="O505" s="790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6"/>
    </row>
    <row r="506" spans="1:57" s="48" customFormat="1" x14ac:dyDescent="0.2">
      <c r="A506" s="822" t="s">
        <v>873</v>
      </c>
      <c r="B506" s="705" t="s">
        <v>874</v>
      </c>
      <c r="C506" s="705" t="s">
        <v>540</v>
      </c>
      <c r="D506" s="46" t="s">
        <v>198</v>
      </c>
      <c r="E506" s="47">
        <f>E507+E508</f>
        <v>12.9</v>
      </c>
      <c r="F506" s="47">
        <f>F507+F508</f>
        <v>12.9</v>
      </c>
      <c r="G506" s="47">
        <f t="shared" ref="G506:J506" si="229">G507</f>
        <v>0</v>
      </c>
      <c r="H506" s="47">
        <f t="shared" si="229"/>
        <v>0</v>
      </c>
      <c r="I506" s="47">
        <f t="shared" si="229"/>
        <v>0</v>
      </c>
      <c r="J506" s="47">
        <f t="shared" si="229"/>
        <v>0</v>
      </c>
      <c r="K506" s="261">
        <f t="shared" si="215"/>
        <v>12.9</v>
      </c>
      <c r="L506" s="234"/>
      <c r="M506" s="77"/>
      <c r="N506" s="231"/>
      <c r="O506" s="746" t="s">
        <v>599</v>
      </c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6"/>
    </row>
    <row r="507" spans="1:57" s="48" customFormat="1" ht="37.5" customHeight="1" x14ac:dyDescent="0.2">
      <c r="A507" s="823"/>
      <c r="B507" s="706"/>
      <c r="C507" s="706"/>
      <c r="D507" s="189">
        <v>2019</v>
      </c>
      <c r="E507" s="188">
        <f>F507+G507+H507+I507+J507</f>
        <v>9.9</v>
      </c>
      <c r="F507" s="188">
        <v>9.9</v>
      </c>
      <c r="G507" s="188">
        <v>0</v>
      </c>
      <c r="H507" s="188">
        <v>0</v>
      </c>
      <c r="I507" s="188">
        <v>0</v>
      </c>
      <c r="J507" s="188">
        <v>0</v>
      </c>
      <c r="K507" s="261">
        <f t="shared" si="215"/>
        <v>9.9</v>
      </c>
      <c r="L507" s="234"/>
      <c r="M507" s="77"/>
      <c r="N507" s="231"/>
      <c r="O507" s="747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6"/>
    </row>
    <row r="508" spans="1:57" s="131" customFormat="1" ht="19.5" customHeight="1" x14ac:dyDescent="0.2">
      <c r="A508" s="429"/>
      <c r="B508" s="316"/>
      <c r="C508" s="316"/>
      <c r="D508" s="132">
        <v>2020</v>
      </c>
      <c r="E508" s="133">
        <f>F508+G508+H508+I508+J508</f>
        <v>3</v>
      </c>
      <c r="F508" s="133">
        <v>3</v>
      </c>
      <c r="G508" s="133">
        <v>0</v>
      </c>
      <c r="H508" s="133">
        <v>0</v>
      </c>
      <c r="I508" s="133">
        <v>0</v>
      </c>
      <c r="J508" s="133">
        <v>0</v>
      </c>
      <c r="K508" s="136">
        <f t="shared" si="215"/>
        <v>3</v>
      </c>
      <c r="L508" s="404"/>
      <c r="M508" s="405"/>
      <c r="N508" s="406"/>
      <c r="O508" s="428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129"/>
      <c r="AO508" s="129"/>
      <c r="AP508" s="129"/>
      <c r="AQ508" s="129"/>
      <c r="AR508" s="129"/>
      <c r="AS508" s="129"/>
      <c r="AT508" s="129"/>
      <c r="AU508" s="129"/>
      <c r="AV508" s="129"/>
      <c r="AW508" s="129"/>
      <c r="AX508" s="129"/>
      <c r="AY508" s="129"/>
      <c r="AZ508" s="129"/>
      <c r="BA508" s="129"/>
      <c r="BB508" s="129"/>
      <c r="BC508" s="129"/>
      <c r="BD508" s="129"/>
      <c r="BE508" s="130"/>
    </row>
    <row r="509" spans="1:57" s="48" customFormat="1" ht="15.75" x14ac:dyDescent="0.2">
      <c r="A509" s="150">
        <v>9</v>
      </c>
      <c r="B509" s="152" t="s">
        <v>606</v>
      </c>
      <c r="C509" s="280"/>
      <c r="D509" s="46" t="s">
        <v>198</v>
      </c>
      <c r="E509" s="47">
        <f>E511</f>
        <v>0</v>
      </c>
      <c r="F509" s="47">
        <f t="shared" ref="F509:J510" si="230">F511</f>
        <v>0</v>
      </c>
      <c r="G509" s="47">
        <f t="shared" si="230"/>
        <v>0</v>
      </c>
      <c r="H509" s="47">
        <f t="shared" si="230"/>
        <v>0</v>
      </c>
      <c r="I509" s="47">
        <f t="shared" si="230"/>
        <v>0</v>
      </c>
      <c r="J509" s="47">
        <f t="shared" si="230"/>
        <v>0</v>
      </c>
      <c r="K509" s="261">
        <f t="shared" si="215"/>
        <v>0</v>
      </c>
      <c r="L509" s="235"/>
      <c r="M509" s="77"/>
      <c r="N509" s="231"/>
      <c r="O509" s="178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6"/>
    </row>
    <row r="510" spans="1:57" s="48" customFormat="1" x14ac:dyDescent="0.2">
      <c r="A510" s="141"/>
      <c r="B510" s="250"/>
      <c r="C510" s="250"/>
      <c r="D510" s="189" t="s">
        <v>865</v>
      </c>
      <c r="E510" s="188">
        <f>E512</f>
        <v>0</v>
      </c>
      <c r="F510" s="188">
        <f t="shared" si="230"/>
        <v>0</v>
      </c>
      <c r="G510" s="188">
        <f t="shared" si="230"/>
        <v>0</v>
      </c>
      <c r="H510" s="188">
        <f t="shared" si="230"/>
        <v>0</v>
      </c>
      <c r="I510" s="188">
        <f t="shared" si="230"/>
        <v>0</v>
      </c>
      <c r="J510" s="188">
        <f t="shared" si="230"/>
        <v>0</v>
      </c>
      <c r="K510" s="261">
        <f t="shared" si="215"/>
        <v>0</v>
      </c>
      <c r="L510" s="235"/>
      <c r="M510" s="77"/>
      <c r="N510" s="231"/>
      <c r="O510" s="178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6"/>
    </row>
    <row r="511" spans="1:57" s="48" customFormat="1" ht="49.5" customHeight="1" x14ac:dyDescent="0.2">
      <c r="A511" s="662" t="s">
        <v>382</v>
      </c>
      <c r="B511" s="631" t="s">
        <v>840</v>
      </c>
      <c r="C511" s="758"/>
      <c r="D511" s="46" t="s">
        <v>198</v>
      </c>
      <c r="E511" s="47">
        <f>E512</f>
        <v>0</v>
      </c>
      <c r="F511" s="47">
        <f t="shared" ref="F511:J511" si="231">F512</f>
        <v>0</v>
      </c>
      <c r="G511" s="47">
        <f t="shared" si="231"/>
        <v>0</v>
      </c>
      <c r="H511" s="47">
        <f t="shared" si="231"/>
        <v>0</v>
      </c>
      <c r="I511" s="47">
        <f t="shared" si="231"/>
        <v>0</v>
      </c>
      <c r="J511" s="47">
        <f t="shared" si="231"/>
        <v>0</v>
      </c>
      <c r="K511" s="261">
        <f t="shared" si="215"/>
        <v>0</v>
      </c>
      <c r="L511" s="235"/>
      <c r="M511" s="77"/>
      <c r="N511" s="231"/>
      <c r="O511" s="746" t="s">
        <v>841</v>
      </c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6"/>
    </row>
    <row r="512" spans="1:57" s="48" customFormat="1" ht="18.75" customHeight="1" x14ac:dyDescent="0.2">
      <c r="A512" s="717"/>
      <c r="B512" s="701"/>
      <c r="C512" s="701"/>
      <c r="D512" s="189" t="s">
        <v>865</v>
      </c>
      <c r="E512" s="188">
        <f>F512+G512+H512+I512+J512</f>
        <v>0</v>
      </c>
      <c r="F512" s="188">
        <v>0</v>
      </c>
      <c r="G512" s="188">
        <v>0</v>
      </c>
      <c r="H512" s="188">
        <v>0</v>
      </c>
      <c r="I512" s="188">
        <v>0</v>
      </c>
      <c r="J512" s="188">
        <v>0</v>
      </c>
      <c r="K512" s="261">
        <f t="shared" si="215"/>
        <v>0</v>
      </c>
      <c r="L512" s="235"/>
      <c r="M512" s="77"/>
      <c r="N512" s="231"/>
      <c r="O512" s="701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6"/>
    </row>
    <row r="513" spans="1:57" s="93" customFormat="1" ht="15.75" x14ac:dyDescent="0.25">
      <c r="A513" s="731" t="s">
        <v>392</v>
      </c>
      <c r="B513" s="783" t="s">
        <v>671</v>
      </c>
      <c r="C513" s="783"/>
      <c r="D513" s="46" t="s">
        <v>198</v>
      </c>
      <c r="E513" s="218">
        <f>SUM(E514:E525)</f>
        <v>3.3210000000000002</v>
      </c>
      <c r="F513" s="218">
        <f t="shared" ref="F513:J513" si="232">SUM(F514:F525)</f>
        <v>0</v>
      </c>
      <c r="G513" s="218">
        <f t="shared" si="232"/>
        <v>1.3180000000000001</v>
      </c>
      <c r="H513" s="218">
        <f t="shared" si="232"/>
        <v>1.0069999999999999</v>
      </c>
      <c r="I513" s="218">
        <f t="shared" si="232"/>
        <v>0.996</v>
      </c>
      <c r="J513" s="218">
        <f t="shared" si="232"/>
        <v>0</v>
      </c>
      <c r="K513" s="261">
        <f t="shared" si="215"/>
        <v>3.3210000000000002</v>
      </c>
      <c r="L513" s="52"/>
      <c r="M513" s="50"/>
      <c r="N513" s="51"/>
      <c r="O513" s="220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2"/>
    </row>
    <row r="514" spans="1:57" s="93" customFormat="1" ht="15.75" x14ac:dyDescent="0.25">
      <c r="A514" s="782"/>
      <c r="B514" s="701"/>
      <c r="C514" s="701"/>
      <c r="D514" s="46">
        <v>2019</v>
      </c>
      <c r="E514" s="47">
        <f>E527</f>
        <v>3.3210000000000002</v>
      </c>
      <c r="F514" s="47">
        <f t="shared" ref="F514:J514" si="233">F527</f>
        <v>0</v>
      </c>
      <c r="G514" s="47">
        <f t="shared" si="233"/>
        <v>1.3180000000000001</v>
      </c>
      <c r="H514" s="47">
        <f t="shared" si="233"/>
        <v>1.0069999999999999</v>
      </c>
      <c r="I514" s="47">
        <f t="shared" si="233"/>
        <v>0.996</v>
      </c>
      <c r="J514" s="47">
        <f t="shared" si="233"/>
        <v>0</v>
      </c>
      <c r="K514" s="261">
        <f t="shared" si="215"/>
        <v>3.3210000000000002</v>
      </c>
      <c r="L514" s="52"/>
      <c r="M514" s="50"/>
      <c r="N514" s="51"/>
      <c r="O514" s="220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2"/>
    </row>
    <row r="515" spans="1:57" s="93" customFormat="1" ht="15.75" x14ac:dyDescent="0.25">
      <c r="A515" s="782"/>
      <c r="B515" s="701"/>
      <c r="C515" s="701"/>
      <c r="D515" s="46">
        <v>2020</v>
      </c>
      <c r="E515" s="47">
        <f>E528</f>
        <v>0</v>
      </c>
      <c r="F515" s="47">
        <f t="shared" ref="F515:J515" si="234">F528</f>
        <v>0</v>
      </c>
      <c r="G515" s="47">
        <f t="shared" si="234"/>
        <v>0</v>
      </c>
      <c r="H515" s="47">
        <f t="shared" si="234"/>
        <v>0</v>
      </c>
      <c r="I515" s="47">
        <f t="shared" si="234"/>
        <v>0</v>
      </c>
      <c r="J515" s="47">
        <f t="shared" si="234"/>
        <v>0</v>
      </c>
      <c r="K515" s="261">
        <f t="shared" si="215"/>
        <v>0</v>
      </c>
      <c r="L515" s="52"/>
      <c r="M515" s="50"/>
      <c r="N515" s="51"/>
      <c r="O515" s="220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2"/>
    </row>
    <row r="516" spans="1:57" s="93" customFormat="1" ht="15.75" x14ac:dyDescent="0.25">
      <c r="A516" s="782"/>
      <c r="B516" s="701"/>
      <c r="C516" s="701"/>
      <c r="D516" s="46">
        <v>2021</v>
      </c>
      <c r="E516" s="47">
        <f t="shared" ref="E516:J525" si="235">E529</f>
        <v>0</v>
      </c>
      <c r="F516" s="47">
        <f t="shared" si="235"/>
        <v>0</v>
      </c>
      <c r="G516" s="47">
        <f t="shared" si="235"/>
        <v>0</v>
      </c>
      <c r="H516" s="47">
        <f t="shared" si="235"/>
        <v>0</v>
      </c>
      <c r="I516" s="47">
        <f t="shared" si="235"/>
        <v>0</v>
      </c>
      <c r="J516" s="47">
        <f t="shared" si="235"/>
        <v>0</v>
      </c>
      <c r="K516" s="261">
        <f t="shared" si="215"/>
        <v>0</v>
      </c>
      <c r="L516" s="52"/>
      <c r="M516" s="50"/>
      <c r="N516" s="51"/>
      <c r="O516" s="220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2"/>
    </row>
    <row r="517" spans="1:57" s="93" customFormat="1" ht="15.75" x14ac:dyDescent="0.25">
      <c r="A517" s="782"/>
      <c r="B517" s="701"/>
      <c r="C517" s="701"/>
      <c r="D517" s="46">
        <v>2022</v>
      </c>
      <c r="E517" s="47">
        <f t="shared" si="235"/>
        <v>0</v>
      </c>
      <c r="F517" s="47">
        <f t="shared" si="235"/>
        <v>0</v>
      </c>
      <c r="G517" s="47">
        <f t="shared" si="235"/>
        <v>0</v>
      </c>
      <c r="H517" s="47">
        <f t="shared" si="235"/>
        <v>0</v>
      </c>
      <c r="I517" s="47">
        <f t="shared" si="235"/>
        <v>0</v>
      </c>
      <c r="J517" s="47">
        <f t="shared" si="235"/>
        <v>0</v>
      </c>
      <c r="K517" s="261">
        <f t="shared" si="215"/>
        <v>0</v>
      </c>
      <c r="L517" s="52"/>
      <c r="M517" s="50"/>
      <c r="N517" s="51"/>
      <c r="O517" s="220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2"/>
    </row>
    <row r="518" spans="1:57" s="93" customFormat="1" ht="15.75" x14ac:dyDescent="0.25">
      <c r="A518" s="782"/>
      <c r="B518" s="701"/>
      <c r="C518" s="701"/>
      <c r="D518" s="46">
        <v>2023</v>
      </c>
      <c r="E518" s="47">
        <f t="shared" si="235"/>
        <v>0</v>
      </c>
      <c r="F518" s="47">
        <f t="shared" si="235"/>
        <v>0</v>
      </c>
      <c r="G518" s="47">
        <f t="shared" si="235"/>
        <v>0</v>
      </c>
      <c r="H518" s="47">
        <f t="shared" si="235"/>
        <v>0</v>
      </c>
      <c r="I518" s="47">
        <f t="shared" si="235"/>
        <v>0</v>
      </c>
      <c r="J518" s="47">
        <f t="shared" si="235"/>
        <v>0</v>
      </c>
      <c r="K518" s="261">
        <f t="shared" si="215"/>
        <v>0</v>
      </c>
      <c r="L518" s="52"/>
      <c r="M518" s="50"/>
      <c r="N518" s="51"/>
      <c r="O518" s="220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2"/>
    </row>
    <row r="519" spans="1:57" s="93" customFormat="1" ht="15.75" x14ac:dyDescent="0.25">
      <c r="A519" s="782"/>
      <c r="B519" s="701"/>
      <c r="C519" s="701"/>
      <c r="D519" s="46">
        <v>2024</v>
      </c>
      <c r="E519" s="47">
        <f t="shared" si="235"/>
        <v>0</v>
      </c>
      <c r="F519" s="47">
        <f t="shared" si="235"/>
        <v>0</v>
      </c>
      <c r="G519" s="47">
        <f t="shared" si="235"/>
        <v>0</v>
      </c>
      <c r="H519" s="47">
        <f t="shared" si="235"/>
        <v>0</v>
      </c>
      <c r="I519" s="47">
        <f t="shared" si="235"/>
        <v>0</v>
      </c>
      <c r="J519" s="47">
        <f t="shared" si="235"/>
        <v>0</v>
      </c>
      <c r="K519" s="261">
        <f t="shared" si="215"/>
        <v>0</v>
      </c>
      <c r="L519" s="52"/>
      <c r="M519" s="50"/>
      <c r="N519" s="51"/>
      <c r="O519" s="220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2"/>
    </row>
    <row r="520" spans="1:57" s="93" customFormat="1" ht="15.75" x14ac:dyDescent="0.25">
      <c r="A520" s="782"/>
      <c r="B520" s="701"/>
      <c r="C520" s="701"/>
      <c r="D520" s="46">
        <v>2025</v>
      </c>
      <c r="E520" s="47">
        <f t="shared" si="235"/>
        <v>0</v>
      </c>
      <c r="F520" s="47">
        <f t="shared" si="235"/>
        <v>0</v>
      </c>
      <c r="G520" s="47">
        <f t="shared" si="235"/>
        <v>0</v>
      </c>
      <c r="H520" s="47">
        <f t="shared" si="235"/>
        <v>0</v>
      </c>
      <c r="I520" s="47">
        <f t="shared" si="235"/>
        <v>0</v>
      </c>
      <c r="J520" s="47">
        <f t="shared" si="235"/>
        <v>0</v>
      </c>
      <c r="K520" s="261">
        <f t="shared" si="215"/>
        <v>0</v>
      </c>
      <c r="L520" s="52"/>
      <c r="M520" s="50"/>
      <c r="N520" s="51"/>
      <c r="O520" s="220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2"/>
    </row>
    <row r="521" spans="1:57" s="93" customFormat="1" ht="15.75" x14ac:dyDescent="0.25">
      <c r="A521" s="782"/>
      <c r="B521" s="701"/>
      <c r="C521" s="701"/>
      <c r="D521" s="46">
        <v>2026</v>
      </c>
      <c r="E521" s="47">
        <f t="shared" si="235"/>
        <v>0</v>
      </c>
      <c r="F521" s="47">
        <f t="shared" si="235"/>
        <v>0</v>
      </c>
      <c r="G521" s="47">
        <f t="shared" si="235"/>
        <v>0</v>
      </c>
      <c r="H521" s="47">
        <f t="shared" si="235"/>
        <v>0</v>
      </c>
      <c r="I521" s="47">
        <f t="shared" si="235"/>
        <v>0</v>
      </c>
      <c r="J521" s="47">
        <f t="shared" si="235"/>
        <v>0</v>
      </c>
      <c r="K521" s="261">
        <f t="shared" si="215"/>
        <v>0</v>
      </c>
      <c r="L521" s="52"/>
      <c r="M521" s="50"/>
      <c r="N521" s="51"/>
      <c r="O521" s="220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2"/>
    </row>
    <row r="522" spans="1:57" s="93" customFormat="1" ht="15.75" x14ac:dyDescent="0.25">
      <c r="A522" s="782"/>
      <c r="B522" s="701"/>
      <c r="C522" s="701"/>
      <c r="D522" s="46">
        <v>2027</v>
      </c>
      <c r="E522" s="47">
        <f t="shared" si="235"/>
        <v>0</v>
      </c>
      <c r="F522" s="47">
        <f t="shared" si="235"/>
        <v>0</v>
      </c>
      <c r="G522" s="47">
        <f t="shared" si="235"/>
        <v>0</v>
      </c>
      <c r="H522" s="47">
        <f t="shared" si="235"/>
        <v>0</v>
      </c>
      <c r="I522" s="47">
        <f t="shared" si="235"/>
        <v>0</v>
      </c>
      <c r="J522" s="47">
        <f t="shared" si="235"/>
        <v>0</v>
      </c>
      <c r="K522" s="261">
        <f t="shared" si="215"/>
        <v>0</v>
      </c>
      <c r="L522" s="52"/>
      <c r="M522" s="50"/>
      <c r="N522" s="51"/>
      <c r="O522" s="220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2"/>
    </row>
    <row r="523" spans="1:57" s="93" customFormat="1" ht="15.75" x14ac:dyDescent="0.25">
      <c r="A523" s="782"/>
      <c r="B523" s="701"/>
      <c r="C523" s="701"/>
      <c r="D523" s="46">
        <v>2028</v>
      </c>
      <c r="E523" s="47">
        <f t="shared" si="235"/>
        <v>0</v>
      </c>
      <c r="F523" s="47">
        <f t="shared" si="235"/>
        <v>0</v>
      </c>
      <c r="G523" s="47">
        <f t="shared" si="235"/>
        <v>0</v>
      </c>
      <c r="H523" s="47">
        <f t="shared" si="235"/>
        <v>0</v>
      </c>
      <c r="I523" s="47">
        <f t="shared" si="235"/>
        <v>0</v>
      </c>
      <c r="J523" s="47">
        <f t="shared" si="235"/>
        <v>0</v>
      </c>
      <c r="K523" s="261">
        <f t="shared" si="215"/>
        <v>0</v>
      </c>
      <c r="L523" s="52"/>
      <c r="M523" s="50"/>
      <c r="N523" s="51"/>
      <c r="O523" s="220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2"/>
    </row>
    <row r="524" spans="1:57" s="93" customFormat="1" ht="15.75" x14ac:dyDescent="0.25">
      <c r="A524" s="782"/>
      <c r="B524" s="701"/>
      <c r="C524" s="701"/>
      <c r="D524" s="46">
        <v>2029</v>
      </c>
      <c r="E524" s="47">
        <f t="shared" si="235"/>
        <v>0</v>
      </c>
      <c r="F524" s="47">
        <f t="shared" si="235"/>
        <v>0</v>
      </c>
      <c r="G524" s="47">
        <f t="shared" si="235"/>
        <v>0</v>
      </c>
      <c r="H524" s="47">
        <f t="shared" si="235"/>
        <v>0</v>
      </c>
      <c r="I524" s="47">
        <f t="shared" si="235"/>
        <v>0</v>
      </c>
      <c r="J524" s="47">
        <f t="shared" si="235"/>
        <v>0</v>
      </c>
      <c r="K524" s="261">
        <f t="shared" si="215"/>
        <v>0</v>
      </c>
      <c r="L524" s="52"/>
      <c r="M524" s="50"/>
      <c r="N524" s="51"/>
      <c r="O524" s="220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2"/>
    </row>
    <row r="525" spans="1:57" s="93" customFormat="1" ht="15.75" x14ac:dyDescent="0.25">
      <c r="A525" s="782"/>
      <c r="B525" s="702"/>
      <c r="C525" s="701"/>
      <c r="D525" s="46">
        <v>2030</v>
      </c>
      <c r="E525" s="47">
        <f t="shared" si="235"/>
        <v>0</v>
      </c>
      <c r="F525" s="47">
        <f t="shared" si="235"/>
        <v>0</v>
      </c>
      <c r="G525" s="47">
        <f t="shared" si="235"/>
        <v>0</v>
      </c>
      <c r="H525" s="47">
        <f t="shared" si="235"/>
        <v>0</v>
      </c>
      <c r="I525" s="47">
        <f t="shared" si="235"/>
        <v>0</v>
      </c>
      <c r="J525" s="47">
        <f t="shared" si="235"/>
        <v>0</v>
      </c>
      <c r="K525" s="261">
        <f t="shared" si="215"/>
        <v>0</v>
      </c>
      <c r="L525" s="52"/>
      <c r="M525" s="50"/>
      <c r="N525" s="51"/>
      <c r="O525" s="220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2"/>
    </row>
    <row r="526" spans="1:57" s="48" customFormat="1" ht="21" customHeight="1" x14ac:dyDescent="0.2">
      <c r="A526" s="662" t="s">
        <v>383</v>
      </c>
      <c r="B526" s="631" t="s">
        <v>418</v>
      </c>
      <c r="C526" s="137"/>
      <c r="D526" s="46" t="s">
        <v>198</v>
      </c>
      <c r="E526" s="61">
        <f>E527+E528+E529+E530+E531+E532+E533+E534+E535+E536+E537+E538</f>
        <v>3.3210000000000002</v>
      </c>
      <c r="F526" s="61">
        <f t="shared" ref="F526:J526" si="236">F527+F528+F529+F530+F531+F532+F533+F534+F535+F536+F537+F538</f>
        <v>0</v>
      </c>
      <c r="G526" s="61">
        <f t="shared" si="236"/>
        <v>1.3180000000000001</v>
      </c>
      <c r="H526" s="61">
        <f>H527+H528+H529+H530+H531+H532+H533+H534+H535+H536+H537+H538</f>
        <v>1.0069999999999999</v>
      </c>
      <c r="I526" s="61">
        <f t="shared" si="236"/>
        <v>0.996</v>
      </c>
      <c r="J526" s="61">
        <f t="shared" si="236"/>
        <v>0</v>
      </c>
      <c r="K526" s="261">
        <f t="shared" ref="K526:K587" si="237">F526+G526+H526+I526+J526</f>
        <v>3.3210000000000002</v>
      </c>
      <c r="L526" s="52"/>
      <c r="M526" s="50"/>
      <c r="N526" s="51"/>
      <c r="O526" s="767" t="s">
        <v>936</v>
      </c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6"/>
    </row>
    <row r="527" spans="1:57" s="48" customFormat="1" ht="12.75" customHeight="1" x14ac:dyDescent="0.2">
      <c r="A527" s="717"/>
      <c r="B527" s="701"/>
      <c r="C527" s="631" t="s">
        <v>397</v>
      </c>
      <c r="D527" s="189">
        <v>2019</v>
      </c>
      <c r="E527" s="188">
        <f>F527+G527+H527+I527+J527</f>
        <v>3.3210000000000002</v>
      </c>
      <c r="F527" s="188">
        <v>0</v>
      </c>
      <c r="G527" s="188">
        <v>1.3180000000000001</v>
      </c>
      <c r="H527" s="188">
        <v>1.0069999999999999</v>
      </c>
      <c r="I527" s="188">
        <v>0.996</v>
      </c>
      <c r="J527" s="188">
        <v>0</v>
      </c>
      <c r="K527" s="261">
        <f t="shared" si="237"/>
        <v>3.3210000000000002</v>
      </c>
      <c r="L527" s="53"/>
      <c r="M527" s="50"/>
      <c r="N527" s="51"/>
      <c r="O527" s="768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6"/>
    </row>
    <row r="528" spans="1:57" s="48" customFormat="1" x14ac:dyDescent="0.2">
      <c r="A528" s="717"/>
      <c r="B528" s="701"/>
      <c r="C528" s="648"/>
      <c r="D528" s="189">
        <v>2020</v>
      </c>
      <c r="E528" s="188">
        <f>F528+G528+H528+I528+J528</f>
        <v>0</v>
      </c>
      <c r="F528" s="188">
        <v>0</v>
      </c>
      <c r="G528" s="188">
        <v>0</v>
      </c>
      <c r="H528" s="188">
        <v>0</v>
      </c>
      <c r="I528" s="188">
        <v>0</v>
      </c>
      <c r="J528" s="188">
        <v>0</v>
      </c>
      <c r="K528" s="261">
        <f t="shared" si="237"/>
        <v>0</v>
      </c>
      <c r="L528" s="53"/>
      <c r="M528" s="50"/>
      <c r="N528" s="51"/>
      <c r="O528" s="768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6"/>
    </row>
    <row r="529" spans="1:57" s="48" customFormat="1" x14ac:dyDescent="0.2">
      <c r="A529" s="717"/>
      <c r="B529" s="701"/>
      <c r="C529" s="648"/>
      <c r="D529" s="189">
        <v>2021</v>
      </c>
      <c r="E529" s="188">
        <f t="shared" ref="E529:E538" si="238">F529+G529+H529+I529+J529</f>
        <v>0</v>
      </c>
      <c r="F529" s="188">
        <v>0</v>
      </c>
      <c r="G529" s="188">
        <v>0</v>
      </c>
      <c r="H529" s="188">
        <v>0</v>
      </c>
      <c r="I529" s="188">
        <v>0</v>
      </c>
      <c r="J529" s="188">
        <v>0</v>
      </c>
      <c r="K529" s="261">
        <f t="shared" si="237"/>
        <v>0</v>
      </c>
      <c r="L529" s="53"/>
      <c r="M529" s="50"/>
      <c r="N529" s="51"/>
      <c r="O529" s="768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6"/>
    </row>
    <row r="530" spans="1:57" s="48" customFormat="1" x14ac:dyDescent="0.2">
      <c r="A530" s="717"/>
      <c r="B530" s="701"/>
      <c r="C530" s="648"/>
      <c r="D530" s="189">
        <v>2022</v>
      </c>
      <c r="E530" s="188">
        <f t="shared" si="238"/>
        <v>0</v>
      </c>
      <c r="F530" s="188">
        <v>0</v>
      </c>
      <c r="G530" s="188">
        <v>0</v>
      </c>
      <c r="H530" s="188">
        <v>0</v>
      </c>
      <c r="I530" s="188">
        <v>0</v>
      </c>
      <c r="J530" s="188">
        <v>0</v>
      </c>
      <c r="K530" s="261">
        <f t="shared" si="237"/>
        <v>0</v>
      </c>
      <c r="L530" s="53"/>
      <c r="M530" s="50"/>
      <c r="N530" s="51"/>
      <c r="O530" s="768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6"/>
    </row>
    <row r="531" spans="1:57" s="48" customFormat="1" x14ac:dyDescent="0.2">
      <c r="A531" s="717"/>
      <c r="B531" s="701"/>
      <c r="C531" s="648"/>
      <c r="D531" s="189">
        <v>2023</v>
      </c>
      <c r="E531" s="188">
        <f t="shared" si="238"/>
        <v>0</v>
      </c>
      <c r="F531" s="188">
        <v>0</v>
      </c>
      <c r="G531" s="188">
        <v>0</v>
      </c>
      <c r="H531" s="188">
        <v>0</v>
      </c>
      <c r="I531" s="188">
        <v>0</v>
      </c>
      <c r="J531" s="188">
        <v>0</v>
      </c>
      <c r="K531" s="261">
        <f t="shared" si="237"/>
        <v>0</v>
      </c>
      <c r="L531" s="53"/>
      <c r="M531" s="50"/>
      <c r="N531" s="51"/>
      <c r="O531" s="768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6"/>
    </row>
    <row r="532" spans="1:57" s="48" customFormat="1" x14ac:dyDescent="0.2">
      <c r="A532" s="717"/>
      <c r="B532" s="701"/>
      <c r="C532" s="648"/>
      <c r="D532" s="189">
        <v>2024</v>
      </c>
      <c r="E532" s="188">
        <f t="shared" si="238"/>
        <v>0</v>
      </c>
      <c r="F532" s="188">
        <v>0</v>
      </c>
      <c r="G532" s="188">
        <v>0</v>
      </c>
      <c r="H532" s="188">
        <v>0</v>
      </c>
      <c r="I532" s="188">
        <v>0</v>
      </c>
      <c r="J532" s="188">
        <v>0</v>
      </c>
      <c r="K532" s="261">
        <f t="shared" si="237"/>
        <v>0</v>
      </c>
      <c r="L532" s="53"/>
      <c r="M532" s="50"/>
      <c r="N532" s="51"/>
      <c r="O532" s="768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6"/>
    </row>
    <row r="533" spans="1:57" s="48" customFormat="1" x14ac:dyDescent="0.2">
      <c r="A533" s="717"/>
      <c r="B533" s="701"/>
      <c r="C533" s="648"/>
      <c r="D533" s="189">
        <v>2025</v>
      </c>
      <c r="E533" s="188">
        <f t="shared" si="238"/>
        <v>0</v>
      </c>
      <c r="F533" s="188">
        <v>0</v>
      </c>
      <c r="G533" s="188">
        <v>0</v>
      </c>
      <c r="H533" s="188">
        <v>0</v>
      </c>
      <c r="I533" s="188">
        <v>0</v>
      </c>
      <c r="J533" s="188">
        <v>0</v>
      </c>
      <c r="K533" s="261">
        <f t="shared" si="237"/>
        <v>0</v>
      </c>
      <c r="L533" s="53"/>
      <c r="M533" s="50"/>
      <c r="N533" s="51"/>
      <c r="O533" s="768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6"/>
    </row>
    <row r="534" spans="1:57" s="48" customFormat="1" ht="12.75" customHeight="1" x14ac:dyDescent="0.2">
      <c r="A534" s="717"/>
      <c r="B534" s="701"/>
      <c r="C534" s="678" t="s">
        <v>962</v>
      </c>
      <c r="D534" s="189">
        <v>2026</v>
      </c>
      <c r="E534" s="188">
        <f t="shared" si="238"/>
        <v>0</v>
      </c>
      <c r="F534" s="188">
        <v>0</v>
      </c>
      <c r="G534" s="188">
        <v>0</v>
      </c>
      <c r="H534" s="188">
        <v>0</v>
      </c>
      <c r="I534" s="188">
        <v>0</v>
      </c>
      <c r="J534" s="188">
        <v>0</v>
      </c>
      <c r="K534" s="261">
        <f t="shared" si="237"/>
        <v>0</v>
      </c>
      <c r="L534" s="53"/>
      <c r="M534" s="50"/>
      <c r="N534" s="51"/>
      <c r="O534" s="768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6"/>
    </row>
    <row r="535" spans="1:57" s="48" customFormat="1" x14ac:dyDescent="0.2">
      <c r="A535" s="717"/>
      <c r="B535" s="701"/>
      <c r="C535" s="678"/>
      <c r="D535" s="189">
        <v>2027</v>
      </c>
      <c r="E535" s="188">
        <f t="shared" si="238"/>
        <v>0</v>
      </c>
      <c r="F535" s="188">
        <v>0</v>
      </c>
      <c r="G535" s="188">
        <v>0</v>
      </c>
      <c r="H535" s="188">
        <v>0</v>
      </c>
      <c r="I535" s="188">
        <v>0</v>
      </c>
      <c r="J535" s="188">
        <v>0</v>
      </c>
      <c r="K535" s="261">
        <f t="shared" si="237"/>
        <v>0</v>
      </c>
      <c r="L535" s="53"/>
      <c r="M535" s="50"/>
      <c r="N535" s="51"/>
      <c r="O535" s="768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6"/>
    </row>
    <row r="536" spans="1:57" s="48" customFormat="1" x14ac:dyDescent="0.2">
      <c r="A536" s="717"/>
      <c r="B536" s="701"/>
      <c r="C536" s="678"/>
      <c r="D536" s="189">
        <v>2028</v>
      </c>
      <c r="E536" s="188">
        <f t="shared" si="238"/>
        <v>0</v>
      </c>
      <c r="F536" s="188">
        <v>0</v>
      </c>
      <c r="G536" s="188">
        <v>0</v>
      </c>
      <c r="H536" s="188">
        <v>0</v>
      </c>
      <c r="I536" s="188">
        <v>0</v>
      </c>
      <c r="J536" s="188">
        <v>0</v>
      </c>
      <c r="K536" s="261">
        <f t="shared" si="237"/>
        <v>0</v>
      </c>
      <c r="L536" s="53"/>
      <c r="M536" s="50"/>
      <c r="N536" s="51"/>
      <c r="O536" s="768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6"/>
    </row>
    <row r="537" spans="1:57" s="48" customFormat="1" x14ac:dyDescent="0.2">
      <c r="A537" s="717"/>
      <c r="B537" s="701"/>
      <c r="C537" s="678"/>
      <c r="D537" s="189">
        <v>2029</v>
      </c>
      <c r="E537" s="188">
        <f t="shared" si="238"/>
        <v>0</v>
      </c>
      <c r="F537" s="188">
        <v>0</v>
      </c>
      <c r="G537" s="188">
        <v>0</v>
      </c>
      <c r="H537" s="188">
        <v>0</v>
      </c>
      <c r="I537" s="188">
        <v>0</v>
      </c>
      <c r="J537" s="188">
        <v>0</v>
      </c>
      <c r="K537" s="261">
        <f t="shared" si="237"/>
        <v>0</v>
      </c>
      <c r="L537" s="53"/>
      <c r="M537" s="50"/>
      <c r="N537" s="51"/>
      <c r="O537" s="768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6"/>
    </row>
    <row r="538" spans="1:57" s="48" customFormat="1" ht="12.75" customHeight="1" x14ac:dyDescent="0.2">
      <c r="A538" s="734"/>
      <c r="B538" s="702"/>
      <c r="C538" s="678"/>
      <c r="D538" s="189">
        <v>2030</v>
      </c>
      <c r="E538" s="188">
        <f t="shared" si="238"/>
        <v>0</v>
      </c>
      <c r="F538" s="188">
        <v>0</v>
      </c>
      <c r="G538" s="188">
        <v>0</v>
      </c>
      <c r="H538" s="188">
        <v>0</v>
      </c>
      <c r="I538" s="188">
        <v>0</v>
      </c>
      <c r="J538" s="188">
        <v>0</v>
      </c>
      <c r="K538" s="261">
        <f t="shared" si="237"/>
        <v>0</v>
      </c>
      <c r="L538" s="53"/>
      <c r="M538" s="50"/>
      <c r="N538" s="51"/>
      <c r="O538" s="768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6"/>
    </row>
    <row r="539" spans="1:57" s="48" customFormat="1" ht="16.5" customHeight="1" x14ac:dyDescent="0.2">
      <c r="A539" s="820">
        <v>11</v>
      </c>
      <c r="B539" s="649" t="s">
        <v>607</v>
      </c>
      <c r="C539" s="821"/>
      <c r="D539" s="46" t="s">
        <v>198</v>
      </c>
      <c r="E539" s="47">
        <f>E547</f>
        <v>4.5951000000000004</v>
      </c>
      <c r="F539" s="47">
        <f t="shared" ref="F539:J545" si="239">F547</f>
        <v>4.5951000000000004</v>
      </c>
      <c r="G539" s="47">
        <f t="shared" si="239"/>
        <v>0</v>
      </c>
      <c r="H539" s="47">
        <f t="shared" si="239"/>
        <v>0</v>
      </c>
      <c r="I539" s="47">
        <f t="shared" si="239"/>
        <v>0</v>
      </c>
      <c r="J539" s="47">
        <f t="shared" si="239"/>
        <v>0</v>
      </c>
      <c r="K539" s="261">
        <f t="shared" si="237"/>
        <v>4.5951000000000004</v>
      </c>
      <c r="L539" s="53"/>
      <c r="M539" s="50"/>
      <c r="N539" s="51"/>
      <c r="O539" s="171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6"/>
    </row>
    <row r="540" spans="1:57" s="48" customFormat="1" ht="16.5" customHeight="1" x14ac:dyDescent="0.2">
      <c r="A540" s="717"/>
      <c r="B540" s="701"/>
      <c r="C540" s="701"/>
      <c r="D540" s="189">
        <v>2019</v>
      </c>
      <c r="E540" s="188">
        <f t="shared" ref="E540:J546" si="240">E548</f>
        <v>0</v>
      </c>
      <c r="F540" s="188">
        <f t="shared" si="239"/>
        <v>0</v>
      </c>
      <c r="G540" s="188">
        <f t="shared" si="239"/>
        <v>0</v>
      </c>
      <c r="H540" s="188">
        <f t="shared" si="239"/>
        <v>0</v>
      </c>
      <c r="I540" s="188">
        <f t="shared" si="239"/>
        <v>0</v>
      </c>
      <c r="J540" s="188">
        <f t="shared" si="239"/>
        <v>0</v>
      </c>
      <c r="K540" s="261">
        <f t="shared" si="237"/>
        <v>0</v>
      </c>
      <c r="L540" s="53"/>
      <c r="M540" s="50"/>
      <c r="N540" s="51"/>
      <c r="O540" s="171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6"/>
    </row>
    <row r="541" spans="1:57" s="131" customFormat="1" ht="16.5" customHeight="1" x14ac:dyDescent="0.2">
      <c r="A541" s="717"/>
      <c r="B541" s="701"/>
      <c r="C541" s="701"/>
      <c r="D541" s="132">
        <v>2020</v>
      </c>
      <c r="E541" s="133">
        <f t="shared" si="240"/>
        <v>4.5951000000000004</v>
      </c>
      <c r="F541" s="133">
        <f t="shared" si="239"/>
        <v>4.5951000000000004</v>
      </c>
      <c r="G541" s="133">
        <f t="shared" si="239"/>
        <v>0</v>
      </c>
      <c r="H541" s="133">
        <f t="shared" si="239"/>
        <v>0</v>
      </c>
      <c r="I541" s="133">
        <f t="shared" si="239"/>
        <v>0</v>
      </c>
      <c r="J541" s="133">
        <f t="shared" si="239"/>
        <v>0</v>
      </c>
      <c r="K541" s="136">
        <f t="shared" si="237"/>
        <v>4.5951000000000004</v>
      </c>
      <c r="L541" s="407"/>
      <c r="M541" s="127"/>
      <c r="N541" s="128"/>
      <c r="O541" s="308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  <c r="AT541" s="129"/>
      <c r="AU541" s="129"/>
      <c r="AV541" s="129"/>
      <c r="AW541" s="129"/>
      <c r="AX541" s="129"/>
      <c r="AY541" s="129"/>
      <c r="AZ541" s="129"/>
      <c r="BA541" s="129"/>
      <c r="BB541" s="129"/>
      <c r="BC541" s="129"/>
      <c r="BD541" s="129"/>
      <c r="BE541" s="130"/>
    </row>
    <row r="542" spans="1:57" s="131" customFormat="1" ht="16.5" customHeight="1" x14ac:dyDescent="0.2">
      <c r="A542" s="717"/>
      <c r="B542" s="701"/>
      <c r="C542" s="701"/>
      <c r="D542" s="132">
        <v>2021</v>
      </c>
      <c r="E542" s="133">
        <f t="shared" si="240"/>
        <v>0</v>
      </c>
      <c r="F542" s="133">
        <f t="shared" si="239"/>
        <v>0</v>
      </c>
      <c r="G542" s="133">
        <f t="shared" si="239"/>
        <v>0</v>
      </c>
      <c r="H542" s="133">
        <f t="shared" si="239"/>
        <v>0</v>
      </c>
      <c r="I542" s="133">
        <f t="shared" si="239"/>
        <v>0</v>
      </c>
      <c r="J542" s="133">
        <f t="shared" si="239"/>
        <v>0</v>
      </c>
      <c r="K542" s="136">
        <f t="shared" si="237"/>
        <v>0</v>
      </c>
      <c r="L542" s="407"/>
      <c r="M542" s="127"/>
      <c r="N542" s="128"/>
      <c r="O542" s="383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  <c r="AT542" s="129"/>
      <c r="AU542" s="129"/>
      <c r="AV542" s="129"/>
      <c r="AW542" s="129"/>
      <c r="AX542" s="129"/>
      <c r="AY542" s="129"/>
      <c r="AZ542" s="129"/>
      <c r="BA542" s="129"/>
      <c r="BB542" s="129"/>
      <c r="BC542" s="129"/>
      <c r="BD542" s="129"/>
      <c r="BE542" s="130"/>
    </row>
    <row r="543" spans="1:57" s="131" customFormat="1" ht="16.5" customHeight="1" x14ac:dyDescent="0.2">
      <c r="A543" s="717"/>
      <c r="B543" s="701"/>
      <c r="C543" s="701"/>
      <c r="D543" s="132">
        <v>2022</v>
      </c>
      <c r="E543" s="133">
        <f t="shared" si="240"/>
        <v>0</v>
      </c>
      <c r="F543" s="133">
        <f t="shared" si="239"/>
        <v>0</v>
      </c>
      <c r="G543" s="133">
        <f t="shared" si="239"/>
        <v>0</v>
      </c>
      <c r="H543" s="133">
        <f t="shared" si="239"/>
        <v>0</v>
      </c>
      <c r="I543" s="133">
        <f t="shared" si="239"/>
        <v>0</v>
      </c>
      <c r="J543" s="133">
        <f t="shared" si="239"/>
        <v>0</v>
      </c>
      <c r="K543" s="136">
        <f t="shared" si="237"/>
        <v>0</v>
      </c>
      <c r="L543" s="407"/>
      <c r="M543" s="127"/>
      <c r="N543" s="128"/>
      <c r="O543" s="411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129"/>
      <c r="AM543" s="129"/>
      <c r="AN543" s="129"/>
      <c r="AO543" s="129"/>
      <c r="AP543" s="129"/>
      <c r="AQ543" s="129"/>
      <c r="AR543" s="129"/>
      <c r="AS543" s="129"/>
      <c r="AT543" s="129"/>
      <c r="AU543" s="129"/>
      <c r="AV543" s="129"/>
      <c r="AW543" s="129"/>
      <c r="AX543" s="129"/>
      <c r="AY543" s="129"/>
      <c r="AZ543" s="129"/>
      <c r="BA543" s="129"/>
      <c r="BB543" s="129"/>
      <c r="BC543" s="129"/>
      <c r="BD543" s="129"/>
      <c r="BE543" s="130"/>
    </row>
    <row r="544" spans="1:57" s="48" customFormat="1" ht="16.5" customHeight="1" x14ac:dyDescent="0.2">
      <c r="A544" s="717"/>
      <c r="B544" s="701"/>
      <c r="C544" s="701"/>
      <c r="D544" s="189">
        <v>2023</v>
      </c>
      <c r="E544" s="188">
        <f t="shared" si="240"/>
        <v>0</v>
      </c>
      <c r="F544" s="188">
        <f t="shared" si="239"/>
        <v>0</v>
      </c>
      <c r="G544" s="188">
        <f t="shared" si="239"/>
        <v>0</v>
      </c>
      <c r="H544" s="188">
        <f t="shared" si="239"/>
        <v>0</v>
      </c>
      <c r="I544" s="188">
        <f t="shared" si="239"/>
        <v>0</v>
      </c>
      <c r="J544" s="188">
        <f t="shared" si="239"/>
        <v>0</v>
      </c>
      <c r="K544" s="261">
        <f t="shared" si="237"/>
        <v>0</v>
      </c>
      <c r="L544" s="53"/>
      <c r="M544" s="50"/>
      <c r="N544" s="51"/>
      <c r="O544" s="250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6"/>
    </row>
    <row r="545" spans="1:57" s="48" customFormat="1" ht="16.5" customHeight="1" x14ac:dyDescent="0.2">
      <c r="A545" s="717"/>
      <c r="B545" s="701"/>
      <c r="C545" s="701"/>
      <c r="D545" s="60">
        <v>2024</v>
      </c>
      <c r="E545" s="61">
        <f t="shared" si="240"/>
        <v>0</v>
      </c>
      <c r="F545" s="61">
        <f>F553</f>
        <v>0</v>
      </c>
      <c r="G545" s="61">
        <f t="shared" si="239"/>
        <v>0</v>
      </c>
      <c r="H545" s="61">
        <f t="shared" si="239"/>
        <v>0</v>
      </c>
      <c r="I545" s="61">
        <f t="shared" si="239"/>
        <v>0</v>
      </c>
      <c r="J545" s="61">
        <f t="shared" si="239"/>
        <v>0</v>
      </c>
      <c r="K545" s="261">
        <f t="shared" si="237"/>
        <v>0</v>
      </c>
      <c r="L545" s="53"/>
      <c r="M545" s="50"/>
      <c r="N545" s="51"/>
      <c r="O545" s="250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6"/>
    </row>
    <row r="546" spans="1:57" s="48" customFormat="1" ht="16.5" customHeight="1" x14ac:dyDescent="0.2">
      <c r="A546" s="164"/>
      <c r="B546" s="250"/>
      <c r="C546" s="250"/>
      <c r="D546" s="189">
        <v>2025</v>
      </c>
      <c r="E546" s="188">
        <f t="shared" si="240"/>
        <v>0</v>
      </c>
      <c r="F546" s="188">
        <f t="shared" si="240"/>
        <v>0</v>
      </c>
      <c r="G546" s="188">
        <f t="shared" si="240"/>
        <v>0</v>
      </c>
      <c r="H546" s="188">
        <f t="shared" si="240"/>
        <v>0</v>
      </c>
      <c r="I546" s="188">
        <f t="shared" si="240"/>
        <v>0</v>
      </c>
      <c r="J546" s="188">
        <f t="shared" si="240"/>
        <v>0</v>
      </c>
      <c r="K546" s="261">
        <f t="shared" si="237"/>
        <v>0</v>
      </c>
      <c r="L546" s="53"/>
      <c r="M546" s="50"/>
      <c r="N546" s="51"/>
      <c r="O546" s="250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6"/>
    </row>
    <row r="547" spans="1:57" s="48" customFormat="1" ht="16.5" customHeight="1" x14ac:dyDescent="0.2">
      <c r="A547" s="670" t="s">
        <v>369</v>
      </c>
      <c r="B547" s="631" t="s">
        <v>851</v>
      </c>
      <c r="C547" s="728" t="s">
        <v>1041</v>
      </c>
      <c r="D547" s="46" t="s">
        <v>198</v>
      </c>
      <c r="E547" s="47">
        <f>E548+E549+E550+E551+E552</f>
        <v>4.5951000000000004</v>
      </c>
      <c r="F547" s="47">
        <f t="shared" ref="F547:J547" si="241">F548+F549+F550+F551+F552</f>
        <v>4.5951000000000004</v>
      </c>
      <c r="G547" s="47">
        <f t="shared" si="241"/>
        <v>0</v>
      </c>
      <c r="H547" s="47">
        <f t="shared" si="241"/>
        <v>0</v>
      </c>
      <c r="I547" s="47">
        <f t="shared" si="241"/>
        <v>0</v>
      </c>
      <c r="J547" s="47">
        <f t="shared" si="241"/>
        <v>0</v>
      </c>
      <c r="K547" s="261">
        <f t="shared" si="237"/>
        <v>4.5951000000000004</v>
      </c>
      <c r="L547" s="53"/>
      <c r="M547" s="50"/>
      <c r="N547" s="51"/>
      <c r="O547" s="250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6"/>
    </row>
    <row r="548" spans="1:57" s="48" customFormat="1" ht="16.5" customHeight="1" x14ac:dyDescent="0.2">
      <c r="A548" s="671"/>
      <c r="B548" s="648"/>
      <c r="C548" s="729"/>
      <c r="D548" s="189">
        <v>2019</v>
      </c>
      <c r="E548" s="188">
        <f>F548+G548+H548+I548+J548</f>
        <v>0</v>
      </c>
      <c r="F548" s="188">
        <v>0</v>
      </c>
      <c r="G548" s="188">
        <v>0</v>
      </c>
      <c r="H548" s="188">
        <v>0</v>
      </c>
      <c r="I548" s="188">
        <v>0</v>
      </c>
      <c r="J548" s="188">
        <v>0</v>
      </c>
      <c r="K548" s="261">
        <f t="shared" si="237"/>
        <v>0</v>
      </c>
      <c r="L548" s="53"/>
      <c r="M548" s="50"/>
      <c r="N548" s="51"/>
      <c r="O548" s="648" t="s">
        <v>852</v>
      </c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6"/>
    </row>
    <row r="549" spans="1:57" s="48" customFormat="1" ht="16.5" customHeight="1" x14ac:dyDescent="0.2">
      <c r="A549" s="671"/>
      <c r="B549" s="648"/>
      <c r="C549" s="729"/>
      <c r="D549" s="189">
        <v>2020</v>
      </c>
      <c r="E549" s="188">
        <f t="shared" ref="E549:E554" si="242">F549+G549+H549+I549+J549</f>
        <v>4.5951000000000004</v>
      </c>
      <c r="F549" s="188">
        <v>4.5951000000000004</v>
      </c>
      <c r="G549" s="188">
        <v>0</v>
      </c>
      <c r="H549" s="188">
        <v>0</v>
      </c>
      <c r="I549" s="188">
        <v>0</v>
      </c>
      <c r="J549" s="188">
        <v>0</v>
      </c>
      <c r="K549" s="261">
        <f t="shared" si="237"/>
        <v>4.5951000000000004</v>
      </c>
      <c r="L549" s="53"/>
      <c r="M549" s="50"/>
      <c r="N549" s="51"/>
      <c r="O549" s="648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6"/>
    </row>
    <row r="550" spans="1:57" s="48" customFormat="1" ht="16.5" customHeight="1" x14ac:dyDescent="0.2">
      <c r="A550" s="671"/>
      <c r="B550" s="648"/>
      <c r="C550" s="729"/>
      <c r="D550" s="189">
        <v>2021</v>
      </c>
      <c r="E550" s="188">
        <f t="shared" si="242"/>
        <v>0</v>
      </c>
      <c r="F550" s="188">
        <v>0</v>
      </c>
      <c r="G550" s="188">
        <v>0</v>
      </c>
      <c r="H550" s="188">
        <v>0</v>
      </c>
      <c r="I550" s="188">
        <v>0</v>
      </c>
      <c r="J550" s="188">
        <v>0</v>
      </c>
      <c r="K550" s="261">
        <f t="shared" si="237"/>
        <v>0</v>
      </c>
      <c r="L550" s="53"/>
      <c r="M550" s="50"/>
      <c r="N550" s="51"/>
      <c r="O550" s="648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6"/>
    </row>
    <row r="551" spans="1:57" s="48" customFormat="1" ht="16.5" customHeight="1" x14ac:dyDescent="0.2">
      <c r="A551" s="671"/>
      <c r="B551" s="648"/>
      <c r="C551" s="729"/>
      <c r="D551" s="189">
        <v>2022</v>
      </c>
      <c r="E551" s="188">
        <f t="shared" si="242"/>
        <v>0</v>
      </c>
      <c r="F551" s="188">
        <v>0</v>
      </c>
      <c r="G551" s="188">
        <v>0</v>
      </c>
      <c r="H551" s="188">
        <v>0</v>
      </c>
      <c r="I551" s="188">
        <v>0</v>
      </c>
      <c r="J551" s="188">
        <v>0</v>
      </c>
      <c r="K551" s="261">
        <f t="shared" si="237"/>
        <v>0</v>
      </c>
      <c r="L551" s="53"/>
      <c r="M551" s="50"/>
      <c r="N551" s="51"/>
      <c r="O551" s="648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6"/>
    </row>
    <row r="552" spans="1:57" s="48" customFormat="1" ht="27" customHeight="1" x14ac:dyDescent="0.2">
      <c r="A552" s="671"/>
      <c r="B552" s="648"/>
      <c r="C552" s="729"/>
      <c r="D552" s="189">
        <v>2023</v>
      </c>
      <c r="E552" s="188">
        <f t="shared" si="242"/>
        <v>0</v>
      </c>
      <c r="F552" s="188">
        <v>0</v>
      </c>
      <c r="G552" s="188">
        <v>0</v>
      </c>
      <c r="H552" s="188">
        <v>0</v>
      </c>
      <c r="I552" s="188">
        <v>0</v>
      </c>
      <c r="J552" s="188">
        <v>0</v>
      </c>
      <c r="K552" s="261">
        <f t="shared" si="237"/>
        <v>0</v>
      </c>
      <c r="L552" s="53"/>
      <c r="M552" s="50"/>
      <c r="N552" s="51"/>
      <c r="O552" s="632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6"/>
    </row>
    <row r="553" spans="1:57" s="48" customFormat="1" ht="27" customHeight="1" x14ac:dyDescent="0.2">
      <c r="A553" s="671"/>
      <c r="B553" s="648"/>
      <c r="C553" s="729"/>
      <c r="D553" s="189">
        <v>2024</v>
      </c>
      <c r="E553" s="188">
        <f t="shared" si="242"/>
        <v>0</v>
      </c>
      <c r="F553" s="188">
        <v>0</v>
      </c>
      <c r="G553" s="188">
        <v>0</v>
      </c>
      <c r="H553" s="188">
        <v>0</v>
      </c>
      <c r="I553" s="188">
        <v>0</v>
      </c>
      <c r="J553" s="188">
        <v>0</v>
      </c>
      <c r="K553" s="261">
        <f t="shared" si="237"/>
        <v>0</v>
      </c>
      <c r="L553" s="53"/>
      <c r="M553" s="50"/>
      <c r="N553" s="51"/>
      <c r="O553" s="181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6"/>
    </row>
    <row r="554" spans="1:57" s="48" customFormat="1" ht="21.75" customHeight="1" x14ac:dyDescent="0.2">
      <c r="A554" s="672"/>
      <c r="B554" s="632"/>
      <c r="C554" s="742"/>
      <c r="D554" s="189">
        <v>2025</v>
      </c>
      <c r="E554" s="188">
        <f t="shared" si="242"/>
        <v>0</v>
      </c>
      <c r="F554" s="188">
        <v>0</v>
      </c>
      <c r="G554" s="188">
        <v>0</v>
      </c>
      <c r="H554" s="188">
        <v>0</v>
      </c>
      <c r="I554" s="188">
        <v>0</v>
      </c>
      <c r="J554" s="188">
        <v>0</v>
      </c>
      <c r="K554" s="261">
        <f t="shared" si="237"/>
        <v>0</v>
      </c>
      <c r="L554" s="53"/>
      <c r="M554" s="50"/>
      <c r="N554" s="51"/>
      <c r="O554" s="181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6"/>
    </row>
    <row r="555" spans="1:57" s="90" customFormat="1" ht="12.75" customHeight="1" x14ac:dyDescent="0.2">
      <c r="A555" s="750" t="s">
        <v>403</v>
      </c>
      <c r="B555" s="783" t="s">
        <v>140</v>
      </c>
      <c r="C555" s="172"/>
      <c r="D555" s="46" t="s">
        <v>198</v>
      </c>
      <c r="E555" s="47">
        <f>E556+E557+E558+E559+E560+E561+E562+E563+E564+E565+E566+E567</f>
        <v>1034.9888999999998</v>
      </c>
      <c r="F555" s="47">
        <f t="shared" ref="F555:J555" si="243">F556+F557+F558+F559+F560+F561+F562+F563+F564+F565+F566+F567</f>
        <v>7.7218</v>
      </c>
      <c r="G555" s="47">
        <f t="shared" si="243"/>
        <v>0</v>
      </c>
      <c r="H555" s="47">
        <f t="shared" si="243"/>
        <v>782.8691</v>
      </c>
      <c r="I555" s="47">
        <f t="shared" si="243"/>
        <v>224.01689999999999</v>
      </c>
      <c r="J555" s="47">
        <f t="shared" si="243"/>
        <v>20.381099999999996</v>
      </c>
      <c r="K555" s="261">
        <f t="shared" si="237"/>
        <v>1034.9889000000001</v>
      </c>
      <c r="L555" s="52"/>
      <c r="M555" s="50"/>
      <c r="N555" s="51"/>
      <c r="O555" s="49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9"/>
    </row>
    <row r="556" spans="1:57" s="90" customFormat="1" x14ac:dyDescent="0.2">
      <c r="A556" s="701"/>
      <c r="B556" s="818"/>
      <c r="C556" s="701"/>
      <c r="D556" s="46">
        <v>2019</v>
      </c>
      <c r="E556" s="47">
        <f>E596+E622+E667+E674+E688+E612+E680+E682</f>
        <v>563.55709999999999</v>
      </c>
      <c r="F556" s="47">
        <f>F596+F622+F667+F674+F688+F612+F680+F682</f>
        <v>3.2890000000000001</v>
      </c>
      <c r="G556" s="47">
        <f t="shared" ref="G556:J556" si="244">G596+G622+G667+G674+G688+G612+G680+G682</f>
        <v>0</v>
      </c>
      <c r="H556" s="47">
        <f t="shared" si="244"/>
        <v>530.40409999999997</v>
      </c>
      <c r="I556" s="47">
        <f t="shared" si="244"/>
        <v>14.1075</v>
      </c>
      <c r="J556" s="47">
        <f t="shared" si="244"/>
        <v>15.756500000000001</v>
      </c>
      <c r="K556" s="261">
        <f t="shared" si="237"/>
        <v>563.55709999999988</v>
      </c>
      <c r="L556" s="52"/>
      <c r="M556" s="50"/>
      <c r="N556" s="51"/>
      <c r="O556" s="49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9"/>
    </row>
    <row r="557" spans="1:57" s="90" customFormat="1" x14ac:dyDescent="0.2">
      <c r="A557" s="701"/>
      <c r="B557" s="818"/>
      <c r="C557" s="701"/>
      <c r="D557" s="46">
        <v>2020</v>
      </c>
      <c r="E557" s="47">
        <f t="shared" ref="E557:J557" si="245">E613+E623+E668+E675+E685+E689+E597+E594</f>
        <v>134.05719999999999</v>
      </c>
      <c r="F557" s="47">
        <f t="shared" si="245"/>
        <v>2.4327999999999999</v>
      </c>
      <c r="G557" s="47">
        <f t="shared" si="245"/>
        <v>0</v>
      </c>
      <c r="H557" s="47">
        <f t="shared" si="245"/>
        <v>120.235</v>
      </c>
      <c r="I557" s="47">
        <f t="shared" si="245"/>
        <v>9.4374000000000002</v>
      </c>
      <c r="J557" s="47">
        <f t="shared" si="245"/>
        <v>1.952</v>
      </c>
      <c r="K557" s="261">
        <f t="shared" si="237"/>
        <v>134.05719999999999</v>
      </c>
      <c r="L557" s="52"/>
      <c r="M557" s="50"/>
      <c r="N557" s="51"/>
      <c r="O557" s="49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9"/>
    </row>
    <row r="558" spans="1:57" s="90" customFormat="1" x14ac:dyDescent="0.2">
      <c r="A558" s="701"/>
      <c r="B558" s="818"/>
      <c r="C558" s="701"/>
      <c r="D558" s="46">
        <v>2021</v>
      </c>
      <c r="E558" s="47">
        <f t="shared" ref="E558:J558" si="246">E576+E614+E624+E676+E686+E669+E690</f>
        <v>36.982900000000001</v>
      </c>
      <c r="F558" s="47">
        <f t="shared" si="246"/>
        <v>0</v>
      </c>
      <c r="G558" s="47">
        <f t="shared" si="246"/>
        <v>0</v>
      </c>
      <c r="H558" s="47">
        <f t="shared" si="246"/>
        <v>8.15</v>
      </c>
      <c r="I558" s="47">
        <f t="shared" si="246"/>
        <v>28.030899999999999</v>
      </c>
      <c r="J558" s="47">
        <f t="shared" si="246"/>
        <v>0.80200000000000005</v>
      </c>
      <c r="K558" s="261">
        <f t="shared" si="237"/>
        <v>36.982900000000001</v>
      </c>
      <c r="L558" s="52"/>
      <c r="M558" s="50"/>
      <c r="N558" s="51"/>
      <c r="O558" s="49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9"/>
    </row>
    <row r="559" spans="1:57" s="90" customFormat="1" x14ac:dyDescent="0.2">
      <c r="A559" s="701"/>
      <c r="B559" s="818"/>
      <c r="C559" s="701"/>
      <c r="D559" s="46">
        <v>2022</v>
      </c>
      <c r="E559" s="47">
        <f t="shared" ref="E559:J559" si="247">E580+E586+E625+E677+E615+E670+E691</f>
        <v>55.630499999999998</v>
      </c>
      <c r="F559" s="47">
        <f t="shared" si="247"/>
        <v>0</v>
      </c>
      <c r="G559" s="47">
        <f t="shared" si="247"/>
        <v>0</v>
      </c>
      <c r="H559" s="47">
        <f t="shared" si="247"/>
        <v>11.690999999999999</v>
      </c>
      <c r="I559" s="47">
        <f t="shared" si="247"/>
        <v>43.530499999999996</v>
      </c>
      <c r="J559" s="47">
        <f t="shared" si="247"/>
        <v>0.40900000000000003</v>
      </c>
      <c r="K559" s="261">
        <f t="shared" si="237"/>
        <v>55.630499999999991</v>
      </c>
      <c r="L559" s="52"/>
      <c r="M559" s="50"/>
      <c r="N559" s="51"/>
      <c r="O559" s="49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9"/>
    </row>
    <row r="560" spans="1:57" s="90" customFormat="1" x14ac:dyDescent="0.2">
      <c r="A560" s="701"/>
      <c r="B560" s="818"/>
      <c r="C560" s="701"/>
      <c r="D560" s="46">
        <v>2023</v>
      </c>
      <c r="E560" s="47">
        <f>E582+E584+E590+E626+E665+E678+E616+E671</f>
        <v>49.437899999999999</v>
      </c>
      <c r="F560" s="47">
        <f t="shared" ref="F560:J560" si="248">F582+F584+F590+F626+F665+F678+F616+F671</f>
        <v>0</v>
      </c>
      <c r="G560" s="47">
        <f t="shared" si="248"/>
        <v>0</v>
      </c>
      <c r="H560" s="47">
        <f t="shared" si="248"/>
        <v>14.420999999999999</v>
      </c>
      <c r="I560" s="47">
        <f t="shared" si="248"/>
        <v>34.5379</v>
      </c>
      <c r="J560" s="47">
        <f t="shared" si="248"/>
        <v>0.47900000000000004</v>
      </c>
      <c r="K560" s="261">
        <f t="shared" si="237"/>
        <v>49.437899999999999</v>
      </c>
      <c r="L560" s="52"/>
      <c r="M560" s="50"/>
      <c r="N560" s="51"/>
      <c r="O560" s="49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9"/>
    </row>
    <row r="561" spans="1:57" s="90" customFormat="1" x14ac:dyDescent="0.2">
      <c r="A561" s="701"/>
      <c r="B561" s="818"/>
      <c r="C561" s="701"/>
      <c r="D561" s="46">
        <v>2024</v>
      </c>
      <c r="E561" s="47">
        <f>E627+E679+E578+E617+E672</f>
        <v>80.347499999999997</v>
      </c>
      <c r="F561" s="47">
        <f t="shared" ref="F561:J561" si="249">F627+F679+F578+F617+F672</f>
        <v>0</v>
      </c>
      <c r="G561" s="47">
        <f t="shared" si="249"/>
        <v>0</v>
      </c>
      <c r="H561" s="47">
        <f t="shared" si="249"/>
        <v>44.872999999999998</v>
      </c>
      <c r="I561" s="47">
        <f t="shared" si="249"/>
        <v>35.196899999999999</v>
      </c>
      <c r="J561" s="47">
        <f t="shared" si="249"/>
        <v>0.27760000000000001</v>
      </c>
      <c r="K561" s="261">
        <f t="shared" si="237"/>
        <v>80.347499999999997</v>
      </c>
      <c r="L561" s="52"/>
      <c r="M561" s="50"/>
      <c r="N561" s="51"/>
      <c r="O561" s="49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9"/>
    </row>
    <row r="562" spans="1:57" s="90" customFormat="1" x14ac:dyDescent="0.2">
      <c r="A562" s="701"/>
      <c r="B562" s="818"/>
      <c r="C562" s="701"/>
      <c r="D562" s="46">
        <v>2025</v>
      </c>
      <c r="E562" s="47">
        <f>E588+E628+E618</f>
        <v>31.837900000000001</v>
      </c>
      <c r="F562" s="47">
        <f t="shared" ref="F562:J562" si="250">F588+F628+F618</f>
        <v>0</v>
      </c>
      <c r="G562" s="47">
        <f t="shared" si="250"/>
        <v>0</v>
      </c>
      <c r="H562" s="47">
        <f t="shared" si="250"/>
        <v>1.425</v>
      </c>
      <c r="I562" s="47">
        <f t="shared" si="250"/>
        <v>30.337900000000001</v>
      </c>
      <c r="J562" s="47">
        <f t="shared" si="250"/>
        <v>7.4999999999999997E-2</v>
      </c>
      <c r="K562" s="261">
        <f t="shared" si="237"/>
        <v>31.837900000000001</v>
      </c>
      <c r="L562" s="52"/>
      <c r="M562" s="50"/>
      <c r="N562" s="51"/>
      <c r="O562" s="49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9"/>
    </row>
    <row r="563" spans="1:57" s="90" customFormat="1" x14ac:dyDescent="0.2">
      <c r="A563" s="701"/>
      <c r="B563" s="818"/>
      <c r="C563" s="701"/>
      <c r="D563" s="46">
        <v>2026</v>
      </c>
      <c r="E563" s="47">
        <f>E569+E629+E619</f>
        <v>38.837899999999998</v>
      </c>
      <c r="F563" s="47">
        <f t="shared" ref="F563:J563" si="251">F569+F629+F619</f>
        <v>0.5</v>
      </c>
      <c r="G563" s="47">
        <f t="shared" si="251"/>
        <v>0</v>
      </c>
      <c r="H563" s="47">
        <f t="shared" si="251"/>
        <v>9.5</v>
      </c>
      <c r="I563" s="47">
        <f t="shared" si="251"/>
        <v>28.837900000000001</v>
      </c>
      <c r="J563" s="47">
        <f t="shared" si="251"/>
        <v>0</v>
      </c>
      <c r="K563" s="261">
        <f t="shared" si="237"/>
        <v>38.837900000000005</v>
      </c>
      <c r="L563" s="52"/>
      <c r="M563" s="50"/>
      <c r="N563" s="51"/>
      <c r="O563" s="49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9"/>
    </row>
    <row r="564" spans="1:57" s="90" customFormat="1" x14ac:dyDescent="0.2">
      <c r="A564" s="701"/>
      <c r="B564" s="818"/>
      <c r="C564" s="701"/>
      <c r="D564" s="46">
        <v>2027</v>
      </c>
      <c r="E564" s="47">
        <f>E570+E574+EH671</f>
        <v>20</v>
      </c>
      <c r="F564" s="47">
        <f t="shared" ref="F564:J564" si="252">F570+F574+EI671</f>
        <v>0.5</v>
      </c>
      <c r="G564" s="47">
        <f t="shared" si="252"/>
        <v>0</v>
      </c>
      <c r="H564" s="47">
        <f t="shared" si="252"/>
        <v>19</v>
      </c>
      <c r="I564" s="47">
        <f t="shared" si="252"/>
        <v>0</v>
      </c>
      <c r="J564" s="47">
        <f t="shared" si="252"/>
        <v>0.5</v>
      </c>
      <c r="K564" s="261">
        <f t="shared" si="237"/>
        <v>20</v>
      </c>
      <c r="L564" s="52"/>
      <c r="M564" s="50"/>
      <c r="N564" s="51"/>
      <c r="O564" s="62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9"/>
    </row>
    <row r="565" spans="1:57" s="90" customFormat="1" x14ac:dyDescent="0.2">
      <c r="A565" s="701"/>
      <c r="B565" s="818"/>
      <c r="C565" s="701"/>
      <c r="D565" s="46">
        <v>2028</v>
      </c>
      <c r="E565" s="47">
        <f>E571</f>
        <v>10</v>
      </c>
      <c r="F565" s="47">
        <f t="shared" ref="F565:J565" si="253">F571</f>
        <v>0.5</v>
      </c>
      <c r="G565" s="47">
        <f t="shared" si="253"/>
        <v>0</v>
      </c>
      <c r="H565" s="47">
        <f t="shared" si="253"/>
        <v>9.5</v>
      </c>
      <c r="I565" s="47">
        <f t="shared" si="253"/>
        <v>0</v>
      </c>
      <c r="J565" s="47">
        <f t="shared" si="253"/>
        <v>0</v>
      </c>
      <c r="K565" s="261">
        <f t="shared" si="237"/>
        <v>10</v>
      </c>
      <c r="L565" s="52"/>
      <c r="M565" s="50"/>
      <c r="N565" s="51"/>
      <c r="O565" s="62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9"/>
    </row>
    <row r="566" spans="1:57" s="90" customFormat="1" x14ac:dyDescent="0.2">
      <c r="A566" s="701"/>
      <c r="B566" s="818"/>
      <c r="C566" s="701"/>
      <c r="D566" s="46">
        <v>2029</v>
      </c>
      <c r="E566" s="47">
        <f>E572+E592</f>
        <v>14.3</v>
      </c>
      <c r="F566" s="47">
        <f t="shared" ref="F566:J566" si="254">F572+F592</f>
        <v>0.5</v>
      </c>
      <c r="G566" s="47">
        <f t="shared" si="254"/>
        <v>0</v>
      </c>
      <c r="H566" s="47">
        <f t="shared" si="254"/>
        <v>13.67</v>
      </c>
      <c r="I566" s="47">
        <f t="shared" si="254"/>
        <v>0</v>
      </c>
      <c r="J566" s="47">
        <f t="shared" si="254"/>
        <v>0.13</v>
      </c>
      <c r="K566" s="261">
        <f t="shared" si="237"/>
        <v>14.3</v>
      </c>
      <c r="L566" s="52"/>
      <c r="M566" s="50"/>
      <c r="N566" s="51"/>
      <c r="O566" s="62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9"/>
    </row>
    <row r="567" spans="1:57" s="90" customFormat="1" x14ac:dyDescent="0.2">
      <c r="A567" s="702"/>
      <c r="B567" s="819"/>
      <c r="C567" s="702"/>
      <c r="D567" s="46">
        <v>2030</v>
      </c>
      <c r="E567" s="47">
        <v>0</v>
      </c>
      <c r="F567" s="47">
        <f t="shared" ref="F567:I567" si="255">F594</f>
        <v>0</v>
      </c>
      <c r="G567" s="47">
        <f t="shared" si="255"/>
        <v>0</v>
      </c>
      <c r="H567" s="47">
        <v>0</v>
      </c>
      <c r="I567" s="47">
        <f t="shared" si="255"/>
        <v>0</v>
      </c>
      <c r="J567" s="47">
        <v>0</v>
      </c>
      <c r="K567" s="261">
        <f t="shared" si="237"/>
        <v>0</v>
      </c>
      <c r="L567" s="52"/>
      <c r="M567" s="50"/>
      <c r="N567" s="51"/>
      <c r="O567" s="62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9"/>
    </row>
    <row r="568" spans="1:57" s="48" customFormat="1" ht="12.75" customHeight="1" x14ac:dyDescent="0.2">
      <c r="A568" s="697" t="s">
        <v>294</v>
      </c>
      <c r="B568" s="631" t="s">
        <v>437</v>
      </c>
      <c r="C568" s="631" t="s">
        <v>438</v>
      </c>
      <c r="D568" s="46" t="s">
        <v>198</v>
      </c>
      <c r="E568" s="47">
        <f>E569+E570+E571+E572</f>
        <v>40</v>
      </c>
      <c r="F568" s="47">
        <f t="shared" ref="F568:J568" si="256">F569+F570+F571+F572</f>
        <v>2</v>
      </c>
      <c r="G568" s="47">
        <f t="shared" si="256"/>
        <v>0</v>
      </c>
      <c r="H568" s="47">
        <f t="shared" si="256"/>
        <v>38</v>
      </c>
      <c r="I568" s="47">
        <f t="shared" si="256"/>
        <v>0</v>
      </c>
      <c r="J568" s="47">
        <f t="shared" si="256"/>
        <v>0</v>
      </c>
      <c r="K568" s="261">
        <f t="shared" si="237"/>
        <v>40</v>
      </c>
      <c r="L568" s="52"/>
      <c r="M568" s="50"/>
      <c r="N568" s="56"/>
      <c r="O568" s="765" t="s">
        <v>852</v>
      </c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6"/>
    </row>
    <row r="569" spans="1:57" s="48" customFormat="1" ht="13.5" customHeight="1" x14ac:dyDescent="0.2">
      <c r="A569" s="698"/>
      <c r="B569" s="701"/>
      <c r="C569" s="701"/>
      <c r="D569" s="189">
        <v>2026</v>
      </c>
      <c r="E569" s="188">
        <f>F569+G569+H569+I569+J569</f>
        <v>10</v>
      </c>
      <c r="F569" s="188">
        <v>0.5</v>
      </c>
      <c r="G569" s="188">
        <v>0</v>
      </c>
      <c r="H569" s="188">
        <v>9.5</v>
      </c>
      <c r="I569" s="188">
        <v>0</v>
      </c>
      <c r="J569" s="188">
        <v>0</v>
      </c>
      <c r="K569" s="261">
        <f t="shared" si="237"/>
        <v>10</v>
      </c>
      <c r="L569" s="53" t="s">
        <v>571</v>
      </c>
      <c r="M569" s="50"/>
      <c r="N569" s="56"/>
      <c r="O569" s="766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6"/>
    </row>
    <row r="570" spans="1:57" s="48" customFormat="1" ht="16.5" customHeight="1" x14ac:dyDescent="0.2">
      <c r="A570" s="698"/>
      <c r="B570" s="701"/>
      <c r="C570" s="701"/>
      <c r="D570" s="189">
        <v>2027</v>
      </c>
      <c r="E570" s="188">
        <f t="shared" ref="E570:E572" si="257">F570+G570+H570+I570+J570</f>
        <v>10</v>
      </c>
      <c r="F570" s="188">
        <v>0.5</v>
      </c>
      <c r="G570" s="188">
        <v>0</v>
      </c>
      <c r="H570" s="188">
        <v>9.5</v>
      </c>
      <c r="I570" s="188">
        <v>0</v>
      </c>
      <c r="J570" s="188">
        <v>0</v>
      </c>
      <c r="K570" s="261">
        <f t="shared" si="237"/>
        <v>10</v>
      </c>
      <c r="L570" s="53" t="s">
        <v>571</v>
      </c>
      <c r="M570" s="50"/>
      <c r="N570" s="56"/>
      <c r="O570" s="72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6"/>
    </row>
    <row r="571" spans="1:57" s="48" customFormat="1" ht="14.25" customHeight="1" x14ac:dyDescent="0.2">
      <c r="A571" s="698"/>
      <c r="B571" s="701"/>
      <c r="C571" s="701"/>
      <c r="D571" s="189">
        <v>2028</v>
      </c>
      <c r="E571" s="188">
        <f t="shared" si="257"/>
        <v>10</v>
      </c>
      <c r="F571" s="188">
        <v>0.5</v>
      </c>
      <c r="G571" s="188">
        <v>0</v>
      </c>
      <c r="H571" s="188">
        <v>9.5</v>
      </c>
      <c r="I571" s="188">
        <v>0</v>
      </c>
      <c r="J571" s="188">
        <v>0</v>
      </c>
      <c r="K571" s="261">
        <f t="shared" si="237"/>
        <v>10</v>
      </c>
      <c r="L571" s="53" t="s">
        <v>571</v>
      </c>
      <c r="M571" s="50"/>
      <c r="N571" s="56"/>
      <c r="O571" s="72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6"/>
    </row>
    <row r="572" spans="1:57" s="48" customFormat="1" ht="21" customHeight="1" x14ac:dyDescent="0.2">
      <c r="A572" s="792"/>
      <c r="B572" s="702"/>
      <c r="C572" s="702"/>
      <c r="D572" s="189">
        <v>2029</v>
      </c>
      <c r="E572" s="188">
        <f t="shared" si="257"/>
        <v>10</v>
      </c>
      <c r="F572" s="188">
        <v>0.5</v>
      </c>
      <c r="G572" s="188">
        <v>0</v>
      </c>
      <c r="H572" s="188">
        <v>9.5</v>
      </c>
      <c r="I572" s="188">
        <v>0</v>
      </c>
      <c r="J572" s="188">
        <v>0</v>
      </c>
      <c r="K572" s="261">
        <f t="shared" si="237"/>
        <v>10</v>
      </c>
      <c r="L572" s="53" t="s">
        <v>571</v>
      </c>
      <c r="M572" s="50"/>
      <c r="N572" s="56"/>
      <c r="O572" s="726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6"/>
    </row>
    <row r="573" spans="1:57" s="48" customFormat="1" x14ac:dyDescent="0.2">
      <c r="A573" s="697" t="s">
        <v>1004</v>
      </c>
      <c r="B573" s="631" t="s">
        <v>439</v>
      </c>
      <c r="C573" s="678" t="s">
        <v>438</v>
      </c>
      <c r="D573" s="46" t="s">
        <v>198</v>
      </c>
      <c r="E573" s="47">
        <f>E574</f>
        <v>10</v>
      </c>
      <c r="F573" s="47">
        <f t="shared" ref="F573:J573" si="258">F574</f>
        <v>0</v>
      </c>
      <c r="G573" s="47">
        <f t="shared" si="258"/>
        <v>0</v>
      </c>
      <c r="H573" s="47">
        <f t="shared" si="258"/>
        <v>9.5</v>
      </c>
      <c r="I573" s="47">
        <f t="shared" si="258"/>
        <v>0</v>
      </c>
      <c r="J573" s="47">
        <f t="shared" si="258"/>
        <v>0.5</v>
      </c>
      <c r="K573" s="261">
        <f t="shared" si="237"/>
        <v>10</v>
      </c>
      <c r="L573" s="806" t="s">
        <v>568</v>
      </c>
      <c r="M573" s="812"/>
      <c r="N573" s="814"/>
      <c r="O573" s="746" t="s">
        <v>440</v>
      </c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6"/>
    </row>
    <row r="574" spans="1:57" s="48" customFormat="1" ht="27" customHeight="1" x14ac:dyDescent="0.2">
      <c r="A574" s="699"/>
      <c r="B574" s="702"/>
      <c r="C574" s="817"/>
      <c r="D574" s="189">
        <v>2027</v>
      </c>
      <c r="E574" s="188">
        <f>F574+G574+H574+I574+J574</f>
        <v>10</v>
      </c>
      <c r="F574" s="188">
        <v>0</v>
      </c>
      <c r="G574" s="188">
        <v>0</v>
      </c>
      <c r="H574" s="188">
        <v>9.5</v>
      </c>
      <c r="I574" s="188">
        <v>0</v>
      </c>
      <c r="J574" s="188">
        <v>0.5</v>
      </c>
      <c r="K574" s="261">
        <f t="shared" si="237"/>
        <v>10</v>
      </c>
      <c r="L574" s="637"/>
      <c r="M574" s="813"/>
      <c r="N574" s="815"/>
      <c r="O574" s="748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6"/>
    </row>
    <row r="575" spans="1:57" s="48" customFormat="1" x14ac:dyDescent="0.2">
      <c r="A575" s="697" t="s">
        <v>1005</v>
      </c>
      <c r="B575" s="631" t="s">
        <v>441</v>
      </c>
      <c r="C575" s="631" t="s">
        <v>393</v>
      </c>
      <c r="D575" s="46" t="s">
        <v>198</v>
      </c>
      <c r="E575" s="47">
        <f>E576</f>
        <v>3.5</v>
      </c>
      <c r="F575" s="47">
        <f t="shared" ref="F575:J575" si="259">F576</f>
        <v>0</v>
      </c>
      <c r="G575" s="47">
        <f t="shared" si="259"/>
        <v>0</v>
      </c>
      <c r="H575" s="47">
        <f t="shared" si="259"/>
        <v>3.4</v>
      </c>
      <c r="I575" s="47">
        <f t="shared" si="259"/>
        <v>0</v>
      </c>
      <c r="J575" s="47">
        <f t="shared" si="259"/>
        <v>0.1</v>
      </c>
      <c r="K575" s="261">
        <f t="shared" si="237"/>
        <v>3.5</v>
      </c>
      <c r="L575" s="633" t="s">
        <v>569</v>
      </c>
      <c r="M575" s="812"/>
      <c r="N575" s="814"/>
      <c r="O575" s="746" t="s">
        <v>234</v>
      </c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6"/>
    </row>
    <row r="576" spans="1:57" s="48" customFormat="1" ht="42.75" customHeight="1" x14ac:dyDescent="0.2">
      <c r="A576" s="699"/>
      <c r="B576" s="702"/>
      <c r="C576" s="702"/>
      <c r="D576" s="189">
        <v>2021</v>
      </c>
      <c r="E576" s="188">
        <f>F576+G576+H576+I576+J576</f>
        <v>3.5</v>
      </c>
      <c r="F576" s="188">
        <v>0</v>
      </c>
      <c r="G576" s="188">
        <v>0</v>
      </c>
      <c r="H576" s="188">
        <v>3.4</v>
      </c>
      <c r="I576" s="188">
        <v>0</v>
      </c>
      <c r="J576" s="188">
        <v>0.1</v>
      </c>
      <c r="K576" s="261">
        <f t="shared" si="237"/>
        <v>3.5</v>
      </c>
      <c r="L576" s="672"/>
      <c r="M576" s="813"/>
      <c r="N576" s="815"/>
      <c r="O576" s="748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6"/>
    </row>
    <row r="577" spans="1:57" s="48" customFormat="1" ht="27.75" customHeight="1" x14ac:dyDescent="0.2">
      <c r="A577" s="697" t="s">
        <v>1006</v>
      </c>
      <c r="B577" s="631" t="s">
        <v>442</v>
      </c>
      <c r="C577" s="631" t="s">
        <v>393</v>
      </c>
      <c r="D577" s="46" t="s">
        <v>198</v>
      </c>
      <c r="E577" s="47">
        <f>E578</f>
        <v>2.9</v>
      </c>
      <c r="F577" s="47">
        <f t="shared" ref="F577:J577" si="260">F578</f>
        <v>0</v>
      </c>
      <c r="G577" s="47">
        <f t="shared" si="260"/>
        <v>0</v>
      </c>
      <c r="H577" s="47">
        <f t="shared" si="260"/>
        <v>2.82</v>
      </c>
      <c r="I577" s="47">
        <f t="shared" si="260"/>
        <v>0</v>
      </c>
      <c r="J577" s="47">
        <f t="shared" si="260"/>
        <v>0.08</v>
      </c>
      <c r="K577" s="261">
        <f t="shared" si="237"/>
        <v>2.9</v>
      </c>
      <c r="L577" s="806" t="s">
        <v>474</v>
      </c>
      <c r="M577" s="812"/>
      <c r="N577" s="814"/>
      <c r="O577" s="765" t="s">
        <v>409</v>
      </c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6"/>
    </row>
    <row r="578" spans="1:57" s="48" customFormat="1" ht="21.75" customHeight="1" x14ac:dyDescent="0.2">
      <c r="A578" s="699"/>
      <c r="B578" s="702"/>
      <c r="C578" s="702"/>
      <c r="D578" s="189">
        <v>2024</v>
      </c>
      <c r="E578" s="188">
        <f>F578+H578+G578+I578+J578</f>
        <v>2.9</v>
      </c>
      <c r="F578" s="188">
        <v>0</v>
      </c>
      <c r="G578" s="188">
        <v>0</v>
      </c>
      <c r="H578" s="188">
        <v>2.82</v>
      </c>
      <c r="I578" s="188">
        <v>0</v>
      </c>
      <c r="J578" s="188">
        <v>0.08</v>
      </c>
      <c r="K578" s="261">
        <f t="shared" si="237"/>
        <v>2.9</v>
      </c>
      <c r="L578" s="805"/>
      <c r="M578" s="813"/>
      <c r="N578" s="815"/>
      <c r="O578" s="816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6"/>
    </row>
    <row r="579" spans="1:57" s="48" customFormat="1" ht="27.75" customHeight="1" x14ac:dyDescent="0.2">
      <c r="A579" s="697" t="s">
        <v>672</v>
      </c>
      <c r="B579" s="631" t="s">
        <v>443</v>
      </c>
      <c r="C579" s="631" t="s">
        <v>393</v>
      </c>
      <c r="D579" s="46" t="s">
        <v>198</v>
      </c>
      <c r="E579" s="47">
        <f>E580</f>
        <v>4.8</v>
      </c>
      <c r="F579" s="47">
        <f t="shared" ref="F579:J579" si="261">F580</f>
        <v>0</v>
      </c>
      <c r="G579" s="47">
        <f t="shared" si="261"/>
        <v>0</v>
      </c>
      <c r="H579" s="47">
        <f t="shared" si="261"/>
        <v>4.66</v>
      </c>
      <c r="I579" s="47">
        <f t="shared" si="261"/>
        <v>0</v>
      </c>
      <c r="J579" s="47">
        <f t="shared" si="261"/>
        <v>0.14000000000000001</v>
      </c>
      <c r="K579" s="261">
        <f t="shared" si="237"/>
        <v>4.8</v>
      </c>
      <c r="L579" s="806" t="s">
        <v>475</v>
      </c>
      <c r="M579" s="812"/>
      <c r="N579" s="814"/>
      <c r="O579" s="746" t="s">
        <v>444</v>
      </c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6"/>
    </row>
    <row r="580" spans="1:57" s="48" customFormat="1" ht="30" customHeight="1" x14ac:dyDescent="0.2">
      <c r="A580" s="699"/>
      <c r="B580" s="702"/>
      <c r="C580" s="702"/>
      <c r="D580" s="189">
        <v>2022</v>
      </c>
      <c r="E580" s="188">
        <f>F580+G580+H580+I580+J580</f>
        <v>4.8</v>
      </c>
      <c r="F580" s="188">
        <v>0</v>
      </c>
      <c r="G580" s="188">
        <v>0</v>
      </c>
      <c r="H580" s="188">
        <v>4.66</v>
      </c>
      <c r="I580" s="188">
        <v>0</v>
      </c>
      <c r="J580" s="188">
        <v>0.14000000000000001</v>
      </c>
      <c r="K580" s="261">
        <f t="shared" si="237"/>
        <v>4.8</v>
      </c>
      <c r="L580" s="805"/>
      <c r="M580" s="813"/>
      <c r="N580" s="815"/>
      <c r="O580" s="748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6"/>
    </row>
    <row r="581" spans="1:57" s="48" customFormat="1" ht="20.25" customHeight="1" x14ac:dyDescent="0.2">
      <c r="A581" s="697" t="s">
        <v>673</v>
      </c>
      <c r="B581" s="631" t="s">
        <v>445</v>
      </c>
      <c r="C581" s="631" t="s">
        <v>393</v>
      </c>
      <c r="D581" s="46" t="s">
        <v>198</v>
      </c>
      <c r="E581" s="218">
        <f t="shared" ref="E581:J591" si="262">E582</f>
        <v>4.3</v>
      </c>
      <c r="F581" s="218">
        <f t="shared" si="262"/>
        <v>0</v>
      </c>
      <c r="G581" s="218">
        <f t="shared" si="262"/>
        <v>0</v>
      </c>
      <c r="H581" s="218">
        <f t="shared" si="262"/>
        <v>4.17</v>
      </c>
      <c r="I581" s="218">
        <f t="shared" si="262"/>
        <v>0</v>
      </c>
      <c r="J581" s="218">
        <f t="shared" si="262"/>
        <v>0.13</v>
      </c>
      <c r="K581" s="261">
        <f t="shared" si="237"/>
        <v>4.3</v>
      </c>
      <c r="L581" s="806" t="s">
        <v>476</v>
      </c>
      <c r="M581" s="812"/>
      <c r="N581" s="802"/>
      <c r="O581" s="746" t="s">
        <v>446</v>
      </c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6"/>
    </row>
    <row r="582" spans="1:57" s="48" customFormat="1" ht="35.25" customHeight="1" x14ac:dyDescent="0.2">
      <c r="A582" s="792"/>
      <c r="B582" s="702"/>
      <c r="C582" s="702"/>
      <c r="D582" s="189">
        <v>2023</v>
      </c>
      <c r="E582" s="188">
        <f>F582+G582+H582+I582+J582</f>
        <v>4.3</v>
      </c>
      <c r="F582" s="188">
        <v>0</v>
      </c>
      <c r="G582" s="188">
        <v>0</v>
      </c>
      <c r="H582" s="188">
        <v>4.17</v>
      </c>
      <c r="I582" s="188">
        <v>0</v>
      </c>
      <c r="J582" s="188">
        <v>0.13</v>
      </c>
      <c r="K582" s="261">
        <f t="shared" si="237"/>
        <v>4.3</v>
      </c>
      <c r="L582" s="805"/>
      <c r="M582" s="813"/>
      <c r="N582" s="803"/>
      <c r="O582" s="748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6"/>
    </row>
    <row r="583" spans="1:57" s="48" customFormat="1" ht="36.75" customHeight="1" x14ac:dyDescent="0.2">
      <c r="A583" s="697" t="s">
        <v>674</v>
      </c>
      <c r="B583" s="631" t="s">
        <v>547</v>
      </c>
      <c r="C583" s="631" t="s">
        <v>393</v>
      </c>
      <c r="D583" s="46" t="s">
        <v>198</v>
      </c>
      <c r="E583" s="58">
        <f t="shared" si="262"/>
        <v>4.3</v>
      </c>
      <c r="F583" s="58">
        <f t="shared" si="262"/>
        <v>0</v>
      </c>
      <c r="G583" s="58">
        <f t="shared" si="262"/>
        <v>0</v>
      </c>
      <c r="H583" s="58">
        <f t="shared" si="262"/>
        <v>4.17</v>
      </c>
      <c r="I583" s="58">
        <f t="shared" si="262"/>
        <v>0</v>
      </c>
      <c r="J583" s="58">
        <f t="shared" si="262"/>
        <v>0.13</v>
      </c>
      <c r="K583" s="261">
        <f t="shared" si="237"/>
        <v>4.3</v>
      </c>
      <c r="L583" s="810" t="s">
        <v>476</v>
      </c>
      <c r="M583" s="218"/>
      <c r="N583" s="64"/>
      <c r="O583" s="746" t="s">
        <v>574</v>
      </c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6"/>
    </row>
    <row r="584" spans="1:57" s="48" customFormat="1" ht="21" customHeight="1" x14ac:dyDescent="0.2">
      <c r="A584" s="792"/>
      <c r="B584" s="702"/>
      <c r="C584" s="702"/>
      <c r="D584" s="46">
        <v>2023</v>
      </c>
      <c r="E584" s="188">
        <f>F584+G584+H584+I584+J584</f>
        <v>4.3</v>
      </c>
      <c r="F584" s="188">
        <v>0</v>
      </c>
      <c r="G584" s="188">
        <v>0</v>
      </c>
      <c r="H584" s="188">
        <v>4.17</v>
      </c>
      <c r="I584" s="188">
        <v>0</v>
      </c>
      <c r="J584" s="188">
        <v>0.13</v>
      </c>
      <c r="K584" s="261">
        <f t="shared" si="237"/>
        <v>4.3</v>
      </c>
      <c r="L584" s="810"/>
      <c r="M584" s="218"/>
      <c r="N584" s="64"/>
      <c r="O584" s="748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6"/>
    </row>
    <row r="585" spans="1:57" s="48" customFormat="1" ht="24.75" customHeight="1" x14ac:dyDescent="0.2">
      <c r="A585" s="697" t="s">
        <v>675</v>
      </c>
      <c r="B585" s="631" t="s">
        <v>548</v>
      </c>
      <c r="C585" s="631" t="s">
        <v>393</v>
      </c>
      <c r="D585" s="46" t="s">
        <v>198</v>
      </c>
      <c r="E585" s="218">
        <f t="shared" si="262"/>
        <v>4.8</v>
      </c>
      <c r="F585" s="218">
        <f t="shared" si="262"/>
        <v>0</v>
      </c>
      <c r="G585" s="218">
        <f t="shared" si="262"/>
        <v>0</v>
      </c>
      <c r="H585" s="218">
        <f t="shared" si="262"/>
        <v>4.6559999999999997</v>
      </c>
      <c r="I585" s="218">
        <f t="shared" si="262"/>
        <v>0</v>
      </c>
      <c r="J585" s="218">
        <f t="shared" si="262"/>
        <v>0.14399999999999999</v>
      </c>
      <c r="K585" s="261">
        <f t="shared" si="237"/>
        <v>4.8</v>
      </c>
      <c r="L585" s="810" t="s">
        <v>476</v>
      </c>
      <c r="M585" s="218"/>
      <c r="N585" s="64"/>
      <c r="O585" s="746" t="s">
        <v>575</v>
      </c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6"/>
    </row>
    <row r="586" spans="1:57" s="48" customFormat="1" ht="35.25" customHeight="1" x14ac:dyDescent="0.2">
      <c r="A586" s="792"/>
      <c r="B586" s="702"/>
      <c r="C586" s="702"/>
      <c r="D586" s="189">
        <v>2022</v>
      </c>
      <c r="E586" s="188">
        <f>F586+G586+H586+I586+J586</f>
        <v>4.8</v>
      </c>
      <c r="F586" s="188">
        <v>0</v>
      </c>
      <c r="G586" s="188">
        <v>0</v>
      </c>
      <c r="H586" s="188">
        <v>4.6559999999999997</v>
      </c>
      <c r="I586" s="188">
        <v>0</v>
      </c>
      <c r="J586" s="188">
        <v>0.14399999999999999</v>
      </c>
      <c r="K586" s="261">
        <f t="shared" si="237"/>
        <v>4.8</v>
      </c>
      <c r="L586" s="810"/>
      <c r="M586" s="218"/>
      <c r="N586" s="64"/>
      <c r="O586" s="748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6"/>
    </row>
    <row r="587" spans="1:57" s="48" customFormat="1" ht="23.25" customHeight="1" x14ac:dyDescent="0.2">
      <c r="A587" s="697" t="s">
        <v>843</v>
      </c>
      <c r="B587" s="631" t="s">
        <v>596</v>
      </c>
      <c r="C587" s="631" t="s">
        <v>393</v>
      </c>
      <c r="D587" s="46" t="s">
        <v>198</v>
      </c>
      <c r="E587" s="218">
        <f t="shared" si="262"/>
        <v>1.5</v>
      </c>
      <c r="F587" s="218">
        <f t="shared" si="262"/>
        <v>0</v>
      </c>
      <c r="G587" s="218">
        <f t="shared" si="262"/>
        <v>0</v>
      </c>
      <c r="H587" s="218">
        <f t="shared" si="262"/>
        <v>1.425</v>
      </c>
      <c r="I587" s="218">
        <f t="shared" si="262"/>
        <v>0</v>
      </c>
      <c r="J587" s="218">
        <f t="shared" si="262"/>
        <v>7.4999999999999997E-2</v>
      </c>
      <c r="K587" s="261">
        <f t="shared" si="237"/>
        <v>1.5</v>
      </c>
      <c r="L587" s="810" t="s">
        <v>476</v>
      </c>
      <c r="M587" s="218"/>
      <c r="N587" s="64"/>
      <c r="O587" s="746" t="s">
        <v>577</v>
      </c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6"/>
    </row>
    <row r="588" spans="1:57" s="48" customFormat="1" ht="34.5" customHeight="1" x14ac:dyDescent="0.2">
      <c r="A588" s="792"/>
      <c r="B588" s="702"/>
      <c r="C588" s="702"/>
      <c r="D588" s="189">
        <v>2025</v>
      </c>
      <c r="E588" s="188">
        <f>F588+G588+H588+I588+J588</f>
        <v>1.5</v>
      </c>
      <c r="F588" s="188">
        <v>0</v>
      </c>
      <c r="G588" s="188">
        <v>0</v>
      </c>
      <c r="H588" s="188">
        <v>1.425</v>
      </c>
      <c r="I588" s="188">
        <v>0</v>
      </c>
      <c r="J588" s="188">
        <v>7.4999999999999997E-2</v>
      </c>
      <c r="K588" s="261">
        <f t="shared" ref="K588:K651" si="263">F588+G588+H588+I588+J588</f>
        <v>1.5</v>
      </c>
      <c r="L588" s="810"/>
      <c r="M588" s="218"/>
      <c r="N588" s="64"/>
      <c r="O588" s="748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6"/>
    </row>
    <row r="589" spans="1:57" s="48" customFormat="1" ht="21.75" customHeight="1" x14ac:dyDescent="0.2">
      <c r="A589" s="697" t="s">
        <v>844</v>
      </c>
      <c r="B589" s="631" t="s">
        <v>549</v>
      </c>
      <c r="C589" s="631" t="s">
        <v>393</v>
      </c>
      <c r="D589" s="46" t="s">
        <v>198</v>
      </c>
      <c r="E589" s="218">
        <f t="shared" si="262"/>
        <v>4.8</v>
      </c>
      <c r="F589" s="218">
        <f t="shared" si="262"/>
        <v>0</v>
      </c>
      <c r="G589" s="218">
        <f t="shared" si="262"/>
        <v>0</v>
      </c>
      <c r="H589" s="218">
        <f t="shared" si="262"/>
        <v>4.6559999999999997</v>
      </c>
      <c r="I589" s="218">
        <f t="shared" si="262"/>
        <v>0</v>
      </c>
      <c r="J589" s="218">
        <f t="shared" si="262"/>
        <v>0.14399999999999999</v>
      </c>
      <c r="K589" s="261">
        <f t="shared" si="263"/>
        <v>4.8</v>
      </c>
      <c r="L589" s="811" t="s">
        <v>475</v>
      </c>
      <c r="M589" s="218"/>
      <c r="N589" s="64"/>
      <c r="O589" s="746" t="s">
        <v>576</v>
      </c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6"/>
    </row>
    <row r="590" spans="1:57" s="48" customFormat="1" ht="32.25" customHeight="1" x14ac:dyDescent="0.2">
      <c r="A590" s="792"/>
      <c r="B590" s="702"/>
      <c r="C590" s="702"/>
      <c r="D590" s="189">
        <v>2023</v>
      </c>
      <c r="E590" s="188">
        <f>F590+G590+H590+I590+J590</f>
        <v>4.8</v>
      </c>
      <c r="F590" s="188">
        <v>0</v>
      </c>
      <c r="G590" s="188">
        <v>0</v>
      </c>
      <c r="H590" s="188">
        <v>4.6559999999999997</v>
      </c>
      <c r="I590" s="188">
        <v>0</v>
      </c>
      <c r="J590" s="188">
        <v>0.14399999999999999</v>
      </c>
      <c r="K590" s="261">
        <f t="shared" si="263"/>
        <v>4.8</v>
      </c>
      <c r="L590" s="811"/>
      <c r="M590" s="218"/>
      <c r="N590" s="64"/>
      <c r="O590" s="748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6"/>
    </row>
    <row r="591" spans="1:57" s="48" customFormat="1" x14ac:dyDescent="0.2">
      <c r="A591" s="697" t="s">
        <v>845</v>
      </c>
      <c r="B591" s="631" t="s">
        <v>550</v>
      </c>
      <c r="C591" s="631" t="s">
        <v>393</v>
      </c>
      <c r="D591" s="46" t="s">
        <v>198</v>
      </c>
      <c r="E591" s="218">
        <f t="shared" si="262"/>
        <v>4.3</v>
      </c>
      <c r="F591" s="218">
        <f t="shared" si="262"/>
        <v>0</v>
      </c>
      <c r="G591" s="218">
        <f t="shared" si="262"/>
        <v>0</v>
      </c>
      <c r="H591" s="218">
        <f t="shared" si="262"/>
        <v>4.17</v>
      </c>
      <c r="I591" s="218">
        <f t="shared" si="262"/>
        <v>0</v>
      </c>
      <c r="J591" s="218">
        <f t="shared" si="262"/>
        <v>0.13</v>
      </c>
      <c r="K591" s="261">
        <f t="shared" si="263"/>
        <v>4.3</v>
      </c>
      <c r="L591" s="804" t="s">
        <v>475</v>
      </c>
      <c r="M591" s="218"/>
      <c r="N591" s="64"/>
      <c r="O591" s="746" t="s">
        <v>235</v>
      </c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6"/>
    </row>
    <row r="592" spans="1:57" s="48" customFormat="1" ht="39.75" customHeight="1" x14ac:dyDescent="0.2">
      <c r="A592" s="792"/>
      <c r="B592" s="702"/>
      <c r="C592" s="702"/>
      <c r="D592" s="189">
        <v>2029</v>
      </c>
      <c r="E592" s="188">
        <f>F592+G592+H592+I592+J592</f>
        <v>4.3</v>
      </c>
      <c r="F592" s="188">
        <v>0</v>
      </c>
      <c r="G592" s="188">
        <v>0</v>
      </c>
      <c r="H592" s="188">
        <v>4.17</v>
      </c>
      <c r="I592" s="188">
        <v>0</v>
      </c>
      <c r="J592" s="188">
        <v>0.13</v>
      </c>
      <c r="K592" s="261">
        <f t="shared" si="263"/>
        <v>4.3</v>
      </c>
      <c r="L592" s="805"/>
      <c r="M592" s="218"/>
      <c r="N592" s="64"/>
      <c r="O592" s="748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6"/>
    </row>
    <row r="593" spans="1:57" s="48" customFormat="1" ht="12.75" customHeight="1" x14ac:dyDescent="0.2">
      <c r="A593" s="697" t="s">
        <v>846</v>
      </c>
      <c r="B593" s="631" t="s">
        <v>551</v>
      </c>
      <c r="C593" s="739" t="s">
        <v>398</v>
      </c>
      <c r="D593" s="46" t="s">
        <v>198</v>
      </c>
      <c r="E593" s="218">
        <f t="shared" ref="E593:J593" si="264">E594</f>
        <v>100</v>
      </c>
      <c r="F593" s="218">
        <f t="shared" si="264"/>
        <v>0</v>
      </c>
      <c r="G593" s="218">
        <f t="shared" si="264"/>
        <v>0</v>
      </c>
      <c r="H593" s="218">
        <f t="shared" si="264"/>
        <v>99</v>
      </c>
      <c r="I593" s="218">
        <f t="shared" si="264"/>
        <v>0</v>
      </c>
      <c r="J593" s="218">
        <f t="shared" si="264"/>
        <v>1</v>
      </c>
      <c r="K593" s="261">
        <f t="shared" si="263"/>
        <v>100</v>
      </c>
      <c r="L593" s="806" t="s">
        <v>570</v>
      </c>
      <c r="M593" s="808"/>
      <c r="N593" s="802"/>
      <c r="O593" s="746" t="s">
        <v>572</v>
      </c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6"/>
    </row>
    <row r="594" spans="1:57" s="48" customFormat="1" ht="31.5" customHeight="1" x14ac:dyDescent="0.2">
      <c r="A594" s="699"/>
      <c r="B594" s="632"/>
      <c r="C594" s="741"/>
      <c r="D594" s="189">
        <v>2020</v>
      </c>
      <c r="E594" s="188">
        <f>F594+G594+H594+I594+J594</f>
        <v>100</v>
      </c>
      <c r="F594" s="188">
        <v>0</v>
      </c>
      <c r="G594" s="188">
        <v>0</v>
      </c>
      <c r="H594" s="188">
        <v>99</v>
      </c>
      <c r="I594" s="188">
        <v>0</v>
      </c>
      <c r="J594" s="188">
        <v>1</v>
      </c>
      <c r="K594" s="261">
        <f t="shared" si="263"/>
        <v>100</v>
      </c>
      <c r="L594" s="807"/>
      <c r="M594" s="809"/>
      <c r="N594" s="803"/>
      <c r="O594" s="748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6"/>
    </row>
    <row r="595" spans="1:57" s="48" customFormat="1" ht="19.5" customHeight="1" x14ac:dyDescent="0.2">
      <c r="A595" s="697" t="s">
        <v>847</v>
      </c>
      <c r="B595" s="631" t="s">
        <v>819</v>
      </c>
      <c r="C595" s="705" t="s">
        <v>539</v>
      </c>
      <c r="D595" s="46" t="s">
        <v>198</v>
      </c>
      <c r="E595" s="47">
        <f>E596+E597</f>
        <v>44.984699999999997</v>
      </c>
      <c r="F595" s="47">
        <f t="shared" ref="F595:J595" si="265">F596+F597</f>
        <v>5.7218</v>
      </c>
      <c r="G595" s="47">
        <f t="shared" si="265"/>
        <v>0</v>
      </c>
      <c r="H595" s="47">
        <f t="shared" si="265"/>
        <v>39.262899999999995</v>
      </c>
      <c r="I595" s="47">
        <f t="shared" si="265"/>
        <v>0</v>
      </c>
      <c r="J595" s="47">
        <f t="shared" si="265"/>
        <v>0</v>
      </c>
      <c r="K595" s="261">
        <f t="shared" si="263"/>
        <v>44.984699999999997</v>
      </c>
      <c r="L595" s="238"/>
      <c r="M595" s="281"/>
      <c r="N595" s="63"/>
      <c r="O595" s="746" t="s">
        <v>599</v>
      </c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6"/>
    </row>
    <row r="596" spans="1:57" s="131" customFormat="1" ht="45.75" customHeight="1" x14ac:dyDescent="0.2">
      <c r="A596" s="698"/>
      <c r="B596" s="648"/>
      <c r="C596" s="735"/>
      <c r="D596" s="125">
        <v>2019</v>
      </c>
      <c r="E596" s="126">
        <f>E598+E599+E600+E601+E602+E603+E604+E605+E606+E607</f>
        <v>26.270899999999997</v>
      </c>
      <c r="F596" s="126">
        <f>F598+F599+F600+F601+F602+F603+F604+F605+F606+F607</f>
        <v>3.2890000000000001</v>
      </c>
      <c r="G596" s="126">
        <f t="shared" ref="G596:J596" si="266">G598+G599+G600+G601+G602+G603+G604+G605+G606+G607</f>
        <v>0</v>
      </c>
      <c r="H596" s="126">
        <f t="shared" si="266"/>
        <v>22.981899999999996</v>
      </c>
      <c r="I596" s="126">
        <f t="shared" si="266"/>
        <v>0</v>
      </c>
      <c r="J596" s="126">
        <f t="shared" si="266"/>
        <v>0</v>
      </c>
      <c r="K596" s="136">
        <f t="shared" si="263"/>
        <v>26.270899999999997</v>
      </c>
      <c r="L596" s="431"/>
      <c r="M596" s="430"/>
      <c r="N596" s="135"/>
      <c r="O596" s="747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  <c r="AK596" s="129"/>
      <c r="AL596" s="129"/>
      <c r="AM596" s="129"/>
      <c r="AN596" s="129"/>
      <c r="AO596" s="129"/>
      <c r="AP596" s="129"/>
      <c r="AQ596" s="129"/>
      <c r="AR596" s="129"/>
      <c r="AS596" s="129"/>
      <c r="AT596" s="129"/>
      <c r="AU596" s="129"/>
      <c r="AV596" s="129"/>
      <c r="AW596" s="129"/>
      <c r="AX596" s="129"/>
      <c r="AY596" s="129"/>
      <c r="AZ596" s="129"/>
      <c r="BA596" s="129"/>
      <c r="BB596" s="129"/>
      <c r="BC596" s="129"/>
      <c r="BD596" s="129"/>
      <c r="BE596" s="130"/>
    </row>
    <row r="597" spans="1:57" s="330" customFormat="1" ht="21.75" customHeight="1" x14ac:dyDescent="0.2">
      <c r="A597" s="370"/>
      <c r="B597" s="353"/>
      <c r="C597" s="735"/>
      <c r="D597" s="323">
        <v>2020</v>
      </c>
      <c r="E597" s="324">
        <f>E608+E609+E610</f>
        <v>18.713799999999999</v>
      </c>
      <c r="F597" s="324">
        <f>F608+F609+F610</f>
        <v>2.4327999999999999</v>
      </c>
      <c r="G597" s="324">
        <f t="shared" ref="G597:J597" si="267">G608+G609+G610</f>
        <v>0</v>
      </c>
      <c r="H597" s="324">
        <f t="shared" si="267"/>
        <v>16.280999999999999</v>
      </c>
      <c r="I597" s="324">
        <f t="shared" si="267"/>
        <v>0</v>
      </c>
      <c r="J597" s="324">
        <f t="shared" si="267"/>
        <v>0</v>
      </c>
      <c r="K597" s="325">
        <f t="shared" si="263"/>
        <v>18.713799999999999</v>
      </c>
      <c r="L597" s="422"/>
      <c r="M597" s="423"/>
      <c r="N597" s="424"/>
      <c r="O597" s="747"/>
      <c r="P597" s="328"/>
      <c r="Q597" s="328"/>
      <c r="R597" s="328"/>
      <c r="S597" s="328"/>
      <c r="T597" s="328"/>
      <c r="U597" s="328"/>
      <c r="V597" s="328"/>
      <c r="W597" s="328"/>
      <c r="X597" s="328"/>
      <c r="Y597" s="328"/>
      <c r="Z597" s="328"/>
      <c r="AA597" s="328"/>
      <c r="AB597" s="328"/>
      <c r="AC597" s="328"/>
      <c r="AD597" s="328"/>
      <c r="AE597" s="328"/>
      <c r="AF597" s="328"/>
      <c r="AG597" s="328"/>
      <c r="AH597" s="328"/>
      <c r="AI597" s="328"/>
      <c r="AJ597" s="328"/>
      <c r="AK597" s="328"/>
      <c r="AL597" s="328"/>
      <c r="AM597" s="328"/>
      <c r="AN597" s="328"/>
      <c r="AO597" s="328"/>
      <c r="AP597" s="328"/>
      <c r="AQ597" s="328"/>
      <c r="AR597" s="328"/>
      <c r="AS597" s="328"/>
      <c r="AT597" s="328"/>
      <c r="AU597" s="328"/>
      <c r="AV597" s="328"/>
      <c r="AW597" s="328"/>
      <c r="AX597" s="328"/>
      <c r="AY597" s="328"/>
      <c r="AZ597" s="328"/>
      <c r="BA597" s="328"/>
      <c r="BB597" s="328"/>
      <c r="BC597" s="328"/>
      <c r="BD597" s="328"/>
      <c r="BE597" s="329"/>
    </row>
    <row r="598" spans="1:57" s="48" customFormat="1" ht="110.25" customHeight="1" x14ac:dyDescent="0.2">
      <c r="A598" s="168" t="s">
        <v>1007</v>
      </c>
      <c r="B598" s="183" t="s">
        <v>820</v>
      </c>
      <c r="C598" s="735"/>
      <c r="D598" s="189">
        <v>2019</v>
      </c>
      <c r="E598" s="188">
        <f t="shared" ref="E598:E607" si="268">F598+G598+H598+I598+J598</f>
        <v>1.5590000000000002</v>
      </c>
      <c r="F598" s="188">
        <v>0.20300000000000001</v>
      </c>
      <c r="G598" s="188">
        <v>0</v>
      </c>
      <c r="H598" s="188">
        <v>1.3560000000000001</v>
      </c>
      <c r="I598" s="188">
        <v>0</v>
      </c>
      <c r="J598" s="188">
        <v>0</v>
      </c>
      <c r="K598" s="261">
        <f t="shared" si="263"/>
        <v>1.5590000000000002</v>
      </c>
      <c r="L598" s="52" t="s">
        <v>821</v>
      </c>
      <c r="M598" s="239"/>
      <c r="N598" s="63"/>
      <c r="O598" s="72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6"/>
    </row>
    <row r="599" spans="1:57" s="48" customFormat="1" ht="105" customHeight="1" x14ac:dyDescent="0.2">
      <c r="A599" s="168" t="s">
        <v>1008</v>
      </c>
      <c r="B599" s="183" t="s">
        <v>822</v>
      </c>
      <c r="C599" s="735"/>
      <c r="D599" s="189">
        <v>2019</v>
      </c>
      <c r="E599" s="188">
        <f t="shared" si="268"/>
        <v>3.2126000000000001</v>
      </c>
      <c r="F599" s="188">
        <v>0.41760000000000003</v>
      </c>
      <c r="G599" s="188">
        <v>0</v>
      </c>
      <c r="H599" s="188">
        <v>2.7949999999999999</v>
      </c>
      <c r="I599" s="188">
        <v>0</v>
      </c>
      <c r="J599" s="188">
        <v>0</v>
      </c>
      <c r="K599" s="261">
        <f t="shared" si="263"/>
        <v>3.2126000000000001</v>
      </c>
      <c r="L599" s="52" t="s">
        <v>823</v>
      </c>
      <c r="M599" s="239"/>
      <c r="N599" s="63"/>
      <c r="O599" s="72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6"/>
    </row>
    <row r="600" spans="1:57" s="48" customFormat="1" ht="103.5" customHeight="1" x14ac:dyDescent="0.2">
      <c r="A600" s="168" t="s">
        <v>1009</v>
      </c>
      <c r="B600" s="183" t="s">
        <v>824</v>
      </c>
      <c r="C600" s="735"/>
      <c r="D600" s="189">
        <v>2019</v>
      </c>
      <c r="E600" s="188">
        <f t="shared" si="268"/>
        <v>1.7907999999999999</v>
      </c>
      <c r="F600" s="188">
        <v>0.23280000000000001</v>
      </c>
      <c r="G600" s="188">
        <v>0</v>
      </c>
      <c r="H600" s="188">
        <v>1.5580000000000001</v>
      </c>
      <c r="I600" s="188">
        <v>0</v>
      </c>
      <c r="J600" s="188">
        <v>0</v>
      </c>
      <c r="K600" s="261">
        <f t="shared" si="263"/>
        <v>1.7907999999999999</v>
      </c>
      <c r="L600" s="52" t="s">
        <v>825</v>
      </c>
      <c r="M600" s="239"/>
      <c r="N600" s="63"/>
      <c r="O600" s="72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6"/>
    </row>
    <row r="601" spans="1:57" s="48" customFormat="1" ht="98.25" customHeight="1" x14ac:dyDescent="0.2">
      <c r="A601" s="168" t="s">
        <v>1010</v>
      </c>
      <c r="B601" s="183" t="s">
        <v>826</v>
      </c>
      <c r="C601" s="735"/>
      <c r="D601" s="189">
        <v>2019</v>
      </c>
      <c r="E601" s="188">
        <f t="shared" si="268"/>
        <v>3.2126000000000001</v>
      </c>
      <c r="F601" s="188">
        <v>0.41760000000000003</v>
      </c>
      <c r="G601" s="188">
        <v>0</v>
      </c>
      <c r="H601" s="188">
        <v>2.7949999999999999</v>
      </c>
      <c r="I601" s="188">
        <v>0</v>
      </c>
      <c r="J601" s="188">
        <v>0</v>
      </c>
      <c r="K601" s="261">
        <f t="shared" si="263"/>
        <v>3.2126000000000001</v>
      </c>
      <c r="L601" s="52" t="s">
        <v>827</v>
      </c>
      <c r="M601" s="239"/>
      <c r="N601" s="63"/>
      <c r="O601" s="72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6"/>
    </row>
    <row r="602" spans="1:57" s="48" customFormat="1" ht="100.5" customHeight="1" x14ac:dyDescent="0.2">
      <c r="A602" s="168" t="s">
        <v>1011</v>
      </c>
      <c r="B602" s="183" t="s">
        <v>828</v>
      </c>
      <c r="C602" s="735"/>
      <c r="D602" s="189">
        <v>2019</v>
      </c>
      <c r="E602" s="188">
        <f t="shared" si="268"/>
        <v>1.7907999999999999</v>
      </c>
      <c r="F602" s="188">
        <v>0.23280000000000001</v>
      </c>
      <c r="G602" s="188">
        <v>0</v>
      </c>
      <c r="H602" s="188">
        <v>1.5580000000000001</v>
      </c>
      <c r="I602" s="188">
        <v>0</v>
      </c>
      <c r="J602" s="188">
        <v>0</v>
      </c>
      <c r="K602" s="261">
        <f t="shared" si="263"/>
        <v>1.7907999999999999</v>
      </c>
      <c r="L602" s="52" t="s">
        <v>825</v>
      </c>
      <c r="M602" s="239"/>
      <c r="N602" s="63"/>
      <c r="O602" s="72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6"/>
    </row>
    <row r="603" spans="1:57" s="48" customFormat="1" ht="105.75" customHeight="1" x14ac:dyDescent="0.2">
      <c r="A603" s="157" t="s">
        <v>1012</v>
      </c>
      <c r="B603" s="169" t="s">
        <v>829</v>
      </c>
      <c r="C603" s="735"/>
      <c r="D603" s="189">
        <v>2019</v>
      </c>
      <c r="E603" s="188">
        <f t="shared" si="268"/>
        <v>3.2126000000000001</v>
      </c>
      <c r="F603" s="188">
        <v>0.41760000000000003</v>
      </c>
      <c r="G603" s="188">
        <v>0</v>
      </c>
      <c r="H603" s="188">
        <v>2.7949999999999999</v>
      </c>
      <c r="I603" s="188">
        <v>0</v>
      </c>
      <c r="J603" s="188">
        <v>0</v>
      </c>
      <c r="K603" s="261">
        <f t="shared" si="263"/>
        <v>3.2126000000000001</v>
      </c>
      <c r="L603" s="52" t="s">
        <v>830</v>
      </c>
      <c r="M603" s="239"/>
      <c r="N603" s="63"/>
      <c r="O603" s="72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6"/>
    </row>
    <row r="604" spans="1:57" s="48" customFormat="1" ht="103.5" customHeight="1" x14ac:dyDescent="0.2">
      <c r="A604" s="157" t="s">
        <v>1013</v>
      </c>
      <c r="B604" s="169" t="s">
        <v>831</v>
      </c>
      <c r="C604" s="735"/>
      <c r="D604" s="189">
        <v>2019</v>
      </c>
      <c r="E604" s="188">
        <f t="shared" si="268"/>
        <v>2.0596999999999999</v>
      </c>
      <c r="F604" s="188">
        <v>0.26769999999999999</v>
      </c>
      <c r="G604" s="188">
        <v>0</v>
      </c>
      <c r="H604" s="188">
        <v>1.792</v>
      </c>
      <c r="I604" s="188">
        <v>0</v>
      </c>
      <c r="J604" s="188">
        <v>0</v>
      </c>
      <c r="K604" s="261">
        <f t="shared" si="263"/>
        <v>2.0596999999999999</v>
      </c>
      <c r="L604" s="52" t="s">
        <v>570</v>
      </c>
      <c r="M604" s="239"/>
      <c r="N604" s="63"/>
      <c r="O604" s="72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6"/>
    </row>
    <row r="605" spans="1:57" s="48" customFormat="1" ht="102" customHeight="1" x14ac:dyDescent="0.2">
      <c r="A605" s="157" t="s">
        <v>1014</v>
      </c>
      <c r="B605" s="169" t="s">
        <v>832</v>
      </c>
      <c r="C605" s="735"/>
      <c r="D605" s="189">
        <v>2019</v>
      </c>
      <c r="E605" s="188">
        <f t="shared" si="268"/>
        <v>3.2126000000000001</v>
      </c>
      <c r="F605" s="188">
        <v>0.41760000000000003</v>
      </c>
      <c r="G605" s="188">
        <v>0</v>
      </c>
      <c r="H605" s="188">
        <v>2.7949999999999999</v>
      </c>
      <c r="I605" s="188">
        <v>0</v>
      </c>
      <c r="J605" s="188">
        <v>0</v>
      </c>
      <c r="K605" s="261">
        <f t="shared" si="263"/>
        <v>3.2126000000000001</v>
      </c>
      <c r="L605" s="52" t="s">
        <v>823</v>
      </c>
      <c r="M605" s="239"/>
      <c r="N605" s="63"/>
      <c r="O605" s="72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6"/>
    </row>
    <row r="606" spans="1:57" s="48" customFormat="1" ht="104.25" customHeight="1" x14ac:dyDescent="0.2">
      <c r="A606" s="157" t="s">
        <v>1015</v>
      </c>
      <c r="B606" s="169" t="s">
        <v>833</v>
      </c>
      <c r="C606" s="770"/>
      <c r="D606" s="189">
        <v>2019</v>
      </c>
      <c r="E606" s="188">
        <f t="shared" si="268"/>
        <v>5.2412999999999998</v>
      </c>
      <c r="F606" s="188">
        <v>0.68130000000000002</v>
      </c>
      <c r="G606" s="188">
        <v>0</v>
      </c>
      <c r="H606" s="188">
        <v>4.5599999999999996</v>
      </c>
      <c r="I606" s="188">
        <v>0</v>
      </c>
      <c r="J606" s="188">
        <v>0</v>
      </c>
      <c r="K606" s="261">
        <f t="shared" si="263"/>
        <v>5.2412999999999998</v>
      </c>
      <c r="L606" s="52" t="s">
        <v>966</v>
      </c>
      <c r="M606" s="239"/>
      <c r="N606" s="63"/>
      <c r="O606" s="726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6"/>
    </row>
    <row r="607" spans="1:57" s="48" customFormat="1" ht="104.25" customHeight="1" x14ac:dyDescent="0.2">
      <c r="A607" s="157" t="s">
        <v>1016</v>
      </c>
      <c r="B607" s="169" t="s">
        <v>1003</v>
      </c>
      <c r="C607" s="192"/>
      <c r="D607" s="189">
        <v>2019</v>
      </c>
      <c r="E607" s="188">
        <f t="shared" si="268"/>
        <v>0.97889999999999999</v>
      </c>
      <c r="F607" s="188">
        <v>1E-3</v>
      </c>
      <c r="G607" s="188">
        <v>0</v>
      </c>
      <c r="H607" s="188">
        <v>0.97789999999999999</v>
      </c>
      <c r="I607" s="188">
        <v>0</v>
      </c>
      <c r="J607" s="188">
        <v>0</v>
      </c>
      <c r="K607" s="261">
        <f t="shared" si="263"/>
        <v>0.97889999999999999</v>
      </c>
      <c r="L607" s="52"/>
      <c r="M607" s="239"/>
      <c r="N607" s="63"/>
      <c r="O607" s="274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6"/>
    </row>
    <row r="608" spans="1:57" s="48" customFormat="1" ht="73.5" customHeight="1" x14ac:dyDescent="0.2">
      <c r="A608" s="157" t="s">
        <v>1017</v>
      </c>
      <c r="B608" s="169" t="s">
        <v>963</v>
      </c>
      <c r="C608" s="192"/>
      <c r="D608" s="189">
        <v>2020</v>
      </c>
      <c r="E608" s="188">
        <f>F608+G608+H608+I608+J608</f>
        <v>8.8452000000000002</v>
      </c>
      <c r="F608" s="188">
        <v>1.1498999999999999</v>
      </c>
      <c r="G608" s="188">
        <v>0</v>
      </c>
      <c r="H608" s="188">
        <v>7.6952999999999996</v>
      </c>
      <c r="I608" s="188">
        <v>0</v>
      </c>
      <c r="J608" s="188">
        <v>0</v>
      </c>
      <c r="K608" s="261">
        <f t="shared" si="263"/>
        <v>8.8452000000000002</v>
      </c>
      <c r="L608" s="52" t="s">
        <v>966</v>
      </c>
      <c r="M608" s="239"/>
      <c r="N608" s="63"/>
      <c r="O608" s="274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6"/>
    </row>
    <row r="609" spans="1:57" s="48" customFormat="1" ht="73.5" customHeight="1" x14ac:dyDescent="0.2">
      <c r="A609" s="157" t="s">
        <v>1018</v>
      </c>
      <c r="B609" s="169" t="s">
        <v>964</v>
      </c>
      <c r="C609" s="192"/>
      <c r="D609" s="189">
        <v>2020</v>
      </c>
      <c r="E609" s="188">
        <f>F609+G609+H609+I609+J609</f>
        <v>5.4904999999999999</v>
      </c>
      <c r="F609" s="188">
        <v>0.71379999999999999</v>
      </c>
      <c r="G609" s="188">
        <v>0</v>
      </c>
      <c r="H609" s="188">
        <v>4.7766999999999999</v>
      </c>
      <c r="I609" s="188">
        <v>0</v>
      </c>
      <c r="J609" s="188">
        <v>0</v>
      </c>
      <c r="K609" s="261">
        <f t="shared" si="263"/>
        <v>5.4904999999999999</v>
      </c>
      <c r="L609" s="52" t="s">
        <v>967</v>
      </c>
      <c r="M609" s="239"/>
      <c r="N609" s="63"/>
      <c r="O609" s="274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6"/>
    </row>
    <row r="610" spans="1:57" s="48" customFormat="1" ht="65.25" customHeight="1" x14ac:dyDescent="0.2">
      <c r="A610" s="157" t="s">
        <v>1019</v>
      </c>
      <c r="B610" s="169" t="s">
        <v>965</v>
      </c>
      <c r="C610" s="192"/>
      <c r="D610" s="189">
        <v>2020</v>
      </c>
      <c r="E610" s="188">
        <f>F610+G610+H610+I610+J610</f>
        <v>4.3780999999999999</v>
      </c>
      <c r="F610" s="188">
        <v>0.56910000000000005</v>
      </c>
      <c r="G610" s="188">
        <v>0</v>
      </c>
      <c r="H610" s="188">
        <v>3.8090000000000002</v>
      </c>
      <c r="I610" s="188">
        <v>0</v>
      </c>
      <c r="J610" s="188">
        <v>0</v>
      </c>
      <c r="K610" s="261">
        <f t="shared" si="263"/>
        <v>4.3780999999999999</v>
      </c>
      <c r="L610" s="52" t="s">
        <v>823</v>
      </c>
      <c r="M610" s="239"/>
      <c r="N610" s="63"/>
      <c r="O610" s="274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6"/>
    </row>
    <row r="611" spans="1:57" s="48" customFormat="1" ht="45.75" customHeight="1" x14ac:dyDescent="0.2">
      <c r="A611" s="697" t="s">
        <v>848</v>
      </c>
      <c r="B611" s="705" t="s">
        <v>884</v>
      </c>
      <c r="C611" s="631" t="s">
        <v>386</v>
      </c>
      <c r="D611" s="46" t="s">
        <v>198</v>
      </c>
      <c r="E611" s="240">
        <f>J611+I611+H611+G611</f>
        <v>231.25899999999999</v>
      </c>
      <c r="F611" s="240">
        <f>F612+F613+F614</f>
        <v>0</v>
      </c>
      <c r="G611" s="240">
        <f>G612+G613+G614</f>
        <v>0</v>
      </c>
      <c r="H611" s="240">
        <f>H612+H613+H614</f>
        <v>0</v>
      </c>
      <c r="I611" s="240">
        <f>I612+I613+I614+I615+I616+I617+I618+I619+I620</f>
        <v>231.25899999999999</v>
      </c>
      <c r="J611" s="240">
        <f>J612+J613+J614</f>
        <v>0</v>
      </c>
      <c r="K611" s="261">
        <f t="shared" si="263"/>
        <v>231.25899999999999</v>
      </c>
      <c r="L611" s="52"/>
      <c r="M611" s="797"/>
      <c r="N611" s="796"/>
      <c r="O611" s="695" t="s">
        <v>225</v>
      </c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6"/>
    </row>
    <row r="612" spans="1:57" s="48" customFormat="1" ht="29.25" customHeight="1" x14ac:dyDescent="0.2">
      <c r="A612" s="698"/>
      <c r="B612" s="706"/>
      <c r="C612" s="648"/>
      <c r="D612" s="189">
        <v>2019</v>
      </c>
      <c r="E612" s="241">
        <f>F612+G612+H612+I612+J612</f>
        <v>12.183999999999999</v>
      </c>
      <c r="F612" s="188">
        <v>0</v>
      </c>
      <c r="G612" s="188">
        <v>0</v>
      </c>
      <c r="H612" s="188">
        <v>0</v>
      </c>
      <c r="I612" s="188">
        <v>12.183999999999999</v>
      </c>
      <c r="J612" s="188">
        <v>0</v>
      </c>
      <c r="K612" s="261">
        <f t="shared" si="263"/>
        <v>12.183999999999999</v>
      </c>
      <c r="L612" s="52"/>
      <c r="M612" s="798"/>
      <c r="N612" s="800"/>
      <c r="O612" s="700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6"/>
    </row>
    <row r="613" spans="1:57" s="48" customFormat="1" ht="25.5" customHeight="1" x14ac:dyDescent="0.2">
      <c r="A613" s="698"/>
      <c r="B613" s="706"/>
      <c r="C613" s="648"/>
      <c r="D613" s="189">
        <v>2020</v>
      </c>
      <c r="E613" s="188">
        <f>F613+G613+H613+I613+J613</f>
        <v>8.6920000000000002</v>
      </c>
      <c r="F613" s="188">
        <v>0</v>
      </c>
      <c r="G613" s="188">
        <v>0</v>
      </c>
      <c r="H613" s="188">
        <v>0</v>
      </c>
      <c r="I613" s="188">
        <v>8.6920000000000002</v>
      </c>
      <c r="J613" s="188">
        <v>0</v>
      </c>
      <c r="K613" s="261">
        <f t="shared" si="263"/>
        <v>8.6920000000000002</v>
      </c>
      <c r="L613" s="52"/>
      <c r="M613" s="798"/>
      <c r="N613" s="800"/>
      <c r="O613" s="700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6"/>
    </row>
    <row r="614" spans="1:57" s="48" customFormat="1" ht="38.25" customHeight="1" x14ac:dyDescent="0.2">
      <c r="A614" s="698"/>
      <c r="B614" s="706"/>
      <c r="C614" s="648"/>
      <c r="D614" s="189">
        <v>2021</v>
      </c>
      <c r="E614" s="188">
        <f>F614+G614+H614+I614+J614</f>
        <v>26.259</v>
      </c>
      <c r="F614" s="188">
        <v>0</v>
      </c>
      <c r="G614" s="188">
        <v>0</v>
      </c>
      <c r="H614" s="188">
        <v>0</v>
      </c>
      <c r="I614" s="188">
        <v>26.259</v>
      </c>
      <c r="J614" s="188">
        <v>0</v>
      </c>
      <c r="K614" s="261">
        <f t="shared" si="263"/>
        <v>26.259</v>
      </c>
      <c r="L614" s="52"/>
      <c r="M614" s="798"/>
      <c r="N614" s="800"/>
      <c r="O614" s="700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6"/>
    </row>
    <row r="615" spans="1:57" s="48" customFormat="1" ht="19.5" customHeight="1" x14ac:dyDescent="0.2">
      <c r="A615" s="698"/>
      <c r="B615" s="706"/>
      <c r="C615" s="648"/>
      <c r="D615" s="189">
        <v>2022</v>
      </c>
      <c r="E615" s="188">
        <f>F615+G615+H615+I615+J615</f>
        <v>42.564999999999998</v>
      </c>
      <c r="F615" s="188">
        <v>0</v>
      </c>
      <c r="G615" s="188">
        <v>0</v>
      </c>
      <c r="H615" s="188">
        <v>0</v>
      </c>
      <c r="I615" s="188">
        <v>42.564999999999998</v>
      </c>
      <c r="J615" s="188">
        <v>0</v>
      </c>
      <c r="K615" s="261">
        <f t="shared" si="263"/>
        <v>42.564999999999998</v>
      </c>
      <c r="L615" s="52"/>
      <c r="M615" s="798"/>
      <c r="N615" s="800"/>
      <c r="O615" s="700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6"/>
    </row>
    <row r="616" spans="1:57" s="48" customFormat="1" ht="18.75" customHeight="1" x14ac:dyDescent="0.2">
      <c r="A616" s="698"/>
      <c r="B616" s="706"/>
      <c r="C616" s="648"/>
      <c r="D616" s="189">
        <v>2023</v>
      </c>
      <c r="E616" s="188">
        <f t="shared" ref="E616:E620" si="269">F616+G616+H616+I616+J616</f>
        <v>33.200000000000003</v>
      </c>
      <c r="F616" s="188">
        <v>0</v>
      </c>
      <c r="G616" s="188">
        <v>0</v>
      </c>
      <c r="H616" s="188">
        <v>0</v>
      </c>
      <c r="I616" s="188">
        <v>33.200000000000003</v>
      </c>
      <c r="J616" s="188">
        <v>0</v>
      </c>
      <c r="K616" s="261">
        <f t="shared" si="263"/>
        <v>33.200000000000003</v>
      </c>
      <c r="L616" s="52"/>
      <c r="M616" s="798"/>
      <c r="N616" s="800"/>
      <c r="O616" s="700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6"/>
    </row>
    <row r="617" spans="1:57" s="48" customFormat="1" ht="19.5" customHeight="1" x14ac:dyDescent="0.2">
      <c r="A617" s="698"/>
      <c r="B617" s="706"/>
      <c r="C617" s="648"/>
      <c r="D617" s="189">
        <v>2024</v>
      </c>
      <c r="E617" s="188">
        <f t="shared" si="269"/>
        <v>33.859000000000002</v>
      </c>
      <c r="F617" s="188">
        <v>0</v>
      </c>
      <c r="G617" s="188">
        <v>0</v>
      </c>
      <c r="H617" s="188">
        <v>0</v>
      </c>
      <c r="I617" s="188">
        <v>33.859000000000002</v>
      </c>
      <c r="J617" s="188">
        <v>0</v>
      </c>
      <c r="K617" s="261">
        <f t="shared" si="263"/>
        <v>33.859000000000002</v>
      </c>
      <c r="L617" s="52"/>
      <c r="M617" s="798"/>
      <c r="N617" s="800"/>
      <c r="O617" s="700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6"/>
    </row>
    <row r="618" spans="1:57" s="48" customFormat="1" ht="18" customHeight="1" x14ac:dyDescent="0.2">
      <c r="A618" s="698"/>
      <c r="B618" s="706"/>
      <c r="C618" s="648"/>
      <c r="D618" s="189">
        <v>2025</v>
      </c>
      <c r="E618" s="188">
        <f t="shared" si="269"/>
        <v>29</v>
      </c>
      <c r="F618" s="188">
        <v>0</v>
      </c>
      <c r="G618" s="188">
        <v>0</v>
      </c>
      <c r="H618" s="188">
        <v>0</v>
      </c>
      <c r="I618" s="188">
        <v>29</v>
      </c>
      <c r="J618" s="188">
        <v>0</v>
      </c>
      <c r="K618" s="261">
        <f t="shared" si="263"/>
        <v>29</v>
      </c>
      <c r="L618" s="52"/>
      <c r="M618" s="798"/>
      <c r="N618" s="800"/>
      <c r="O618" s="700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6"/>
    </row>
    <row r="619" spans="1:57" s="48" customFormat="1" ht="14.25" customHeight="1" x14ac:dyDescent="0.2">
      <c r="A619" s="698"/>
      <c r="B619" s="706"/>
      <c r="C619" s="648"/>
      <c r="D619" s="189">
        <v>2026</v>
      </c>
      <c r="E619" s="188">
        <f t="shared" si="269"/>
        <v>27.5</v>
      </c>
      <c r="F619" s="188">
        <v>0</v>
      </c>
      <c r="G619" s="188">
        <v>0</v>
      </c>
      <c r="H619" s="188">
        <v>0</v>
      </c>
      <c r="I619" s="188">
        <v>27.5</v>
      </c>
      <c r="J619" s="188">
        <v>0</v>
      </c>
      <c r="K619" s="261">
        <f t="shared" si="263"/>
        <v>27.5</v>
      </c>
      <c r="L619" s="52"/>
      <c r="M619" s="798"/>
      <c r="N619" s="800"/>
      <c r="O619" s="700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6"/>
    </row>
    <row r="620" spans="1:57" s="48" customFormat="1" ht="15" customHeight="1" x14ac:dyDescent="0.2">
      <c r="A620" s="698"/>
      <c r="B620" s="730"/>
      <c r="C620" s="632"/>
      <c r="D620" s="189">
        <v>2027</v>
      </c>
      <c r="E620" s="188">
        <f t="shared" si="269"/>
        <v>18</v>
      </c>
      <c r="F620" s="188">
        <v>0</v>
      </c>
      <c r="G620" s="188">
        <v>0</v>
      </c>
      <c r="H620" s="188">
        <v>0</v>
      </c>
      <c r="I620" s="188">
        <v>18</v>
      </c>
      <c r="J620" s="188">
        <v>0</v>
      </c>
      <c r="K620" s="261">
        <f t="shared" si="263"/>
        <v>18</v>
      </c>
      <c r="L620" s="52"/>
      <c r="M620" s="799"/>
      <c r="N620" s="801"/>
      <c r="O620" s="696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6"/>
    </row>
    <row r="621" spans="1:57" s="48" customFormat="1" x14ac:dyDescent="0.2">
      <c r="A621" s="697" t="s">
        <v>849</v>
      </c>
      <c r="B621" s="631" t="s">
        <v>449</v>
      </c>
      <c r="C621" s="631" t="s">
        <v>386</v>
      </c>
      <c r="D621" s="46" t="s">
        <v>198</v>
      </c>
      <c r="E621" s="47">
        <f>E622+E623+E624+E625+E626+E627+E628+E629</f>
        <v>10.757899999999999</v>
      </c>
      <c r="F621" s="47">
        <f t="shared" ref="F621:J621" si="270">F622+F623+F624+F625+F626+F627+F628+F629</f>
        <v>0</v>
      </c>
      <c r="G621" s="47">
        <f t="shared" si="270"/>
        <v>0</v>
      </c>
      <c r="H621" s="47">
        <f t="shared" si="270"/>
        <v>0</v>
      </c>
      <c r="I621" s="47">
        <f t="shared" si="270"/>
        <v>10.757899999999999</v>
      </c>
      <c r="J621" s="47">
        <f t="shared" si="270"/>
        <v>0</v>
      </c>
      <c r="K621" s="261">
        <f t="shared" si="263"/>
        <v>10.757899999999999</v>
      </c>
      <c r="L621" s="52"/>
      <c r="M621" s="793"/>
      <c r="N621" s="796"/>
      <c r="O621" s="746" t="s">
        <v>178</v>
      </c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6"/>
    </row>
    <row r="622" spans="1:57" s="48" customFormat="1" x14ac:dyDescent="0.2">
      <c r="A622" s="698"/>
      <c r="B622" s="701"/>
      <c r="C622" s="648"/>
      <c r="D622" s="189">
        <v>2019</v>
      </c>
      <c r="E622" s="188">
        <f>E636+E646+E663</f>
        <v>1.9235000000000002</v>
      </c>
      <c r="F622" s="188">
        <f t="shared" ref="F622:J622" si="271">F636+F646+F663</f>
        <v>0</v>
      </c>
      <c r="G622" s="188">
        <f t="shared" si="271"/>
        <v>0</v>
      </c>
      <c r="H622" s="188">
        <f t="shared" si="271"/>
        <v>0</v>
      </c>
      <c r="I622" s="188">
        <f t="shared" si="271"/>
        <v>1.9235000000000002</v>
      </c>
      <c r="J622" s="188">
        <f t="shared" si="271"/>
        <v>0</v>
      </c>
      <c r="K622" s="261">
        <f t="shared" si="263"/>
        <v>1.9235000000000002</v>
      </c>
      <c r="L622" s="52"/>
      <c r="M622" s="794"/>
      <c r="N622" s="636"/>
      <c r="O622" s="72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6"/>
    </row>
    <row r="623" spans="1:57" s="48" customFormat="1" x14ac:dyDescent="0.2">
      <c r="A623" s="698"/>
      <c r="B623" s="701"/>
      <c r="C623" s="648"/>
      <c r="D623" s="189">
        <v>2020</v>
      </c>
      <c r="E623" s="188">
        <f>E631+E641</f>
        <v>0.74539999999999995</v>
      </c>
      <c r="F623" s="188">
        <f t="shared" ref="F623:J623" si="272">F631+F641</f>
        <v>0</v>
      </c>
      <c r="G623" s="188">
        <f t="shared" si="272"/>
        <v>0</v>
      </c>
      <c r="H623" s="188">
        <f t="shared" si="272"/>
        <v>0</v>
      </c>
      <c r="I623" s="188">
        <f t="shared" si="272"/>
        <v>0.74539999999999995</v>
      </c>
      <c r="J623" s="188">
        <f t="shared" si="272"/>
        <v>0</v>
      </c>
      <c r="K623" s="261">
        <f t="shared" si="263"/>
        <v>0.74539999999999995</v>
      </c>
      <c r="L623" s="52"/>
      <c r="M623" s="794"/>
      <c r="N623" s="637"/>
      <c r="O623" s="72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6"/>
    </row>
    <row r="624" spans="1:57" s="48" customFormat="1" x14ac:dyDescent="0.2">
      <c r="A624" s="791"/>
      <c r="B624" s="701"/>
      <c r="C624" s="648"/>
      <c r="D624" s="189">
        <v>2021</v>
      </c>
      <c r="E624" s="188">
        <f>E632+E637+E642+E647</f>
        <v>1.7719</v>
      </c>
      <c r="F624" s="188">
        <f t="shared" ref="F624:J624" si="273">F632+F637+F642+F647</f>
        <v>0</v>
      </c>
      <c r="G624" s="188">
        <f t="shared" si="273"/>
        <v>0</v>
      </c>
      <c r="H624" s="188">
        <f t="shared" si="273"/>
        <v>0</v>
      </c>
      <c r="I624" s="188">
        <f t="shared" si="273"/>
        <v>1.7719</v>
      </c>
      <c r="J624" s="188">
        <f t="shared" si="273"/>
        <v>0</v>
      </c>
      <c r="K624" s="261">
        <f t="shared" si="263"/>
        <v>1.7719</v>
      </c>
      <c r="L624" s="52"/>
      <c r="M624" s="794"/>
      <c r="N624" s="222"/>
      <c r="O624" s="72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6"/>
    </row>
    <row r="625" spans="1:57" s="48" customFormat="1" x14ac:dyDescent="0.2">
      <c r="A625" s="791"/>
      <c r="B625" s="701"/>
      <c r="C625" s="648"/>
      <c r="D625" s="189">
        <v>2022</v>
      </c>
      <c r="E625" s="188">
        <f>E648+E661</f>
        <v>0.96550000000000002</v>
      </c>
      <c r="F625" s="188">
        <f t="shared" ref="F625:J625" si="274">F648+F661</f>
        <v>0</v>
      </c>
      <c r="G625" s="188">
        <f t="shared" si="274"/>
        <v>0</v>
      </c>
      <c r="H625" s="188">
        <f t="shared" si="274"/>
        <v>0</v>
      </c>
      <c r="I625" s="188">
        <f t="shared" si="274"/>
        <v>0.96550000000000002</v>
      </c>
      <c r="J625" s="188">
        <f t="shared" si="274"/>
        <v>0</v>
      </c>
      <c r="K625" s="261">
        <f t="shared" si="263"/>
        <v>0.96550000000000002</v>
      </c>
      <c r="L625" s="52"/>
      <c r="M625" s="794"/>
      <c r="N625" s="222"/>
      <c r="O625" s="72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6"/>
    </row>
    <row r="626" spans="1:57" s="48" customFormat="1" x14ac:dyDescent="0.2">
      <c r="A626" s="791"/>
      <c r="B626" s="701"/>
      <c r="C626" s="648"/>
      <c r="D626" s="189">
        <v>2023</v>
      </c>
      <c r="E626" s="188">
        <f>E649</f>
        <v>1.3379000000000001</v>
      </c>
      <c r="F626" s="188">
        <f t="shared" ref="F626:J626" si="275">F649</f>
        <v>0</v>
      </c>
      <c r="G626" s="188">
        <f t="shared" si="275"/>
        <v>0</v>
      </c>
      <c r="H626" s="188">
        <f t="shared" si="275"/>
        <v>0</v>
      </c>
      <c r="I626" s="188">
        <f t="shared" si="275"/>
        <v>1.3379000000000001</v>
      </c>
      <c r="J626" s="188">
        <f t="shared" si="275"/>
        <v>0</v>
      </c>
      <c r="K626" s="261">
        <f t="shared" si="263"/>
        <v>1.3379000000000001</v>
      </c>
      <c r="L626" s="52"/>
      <c r="M626" s="794"/>
      <c r="N626" s="222"/>
      <c r="O626" s="72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6"/>
    </row>
    <row r="627" spans="1:57" s="48" customFormat="1" x14ac:dyDescent="0.2">
      <c r="A627" s="791"/>
      <c r="B627" s="701"/>
      <c r="C627" s="648"/>
      <c r="D627" s="189">
        <v>2024</v>
      </c>
      <c r="E627" s="188">
        <f t="shared" ref="E627:J629" si="276">E650</f>
        <v>1.3379000000000001</v>
      </c>
      <c r="F627" s="188">
        <f t="shared" si="276"/>
        <v>0</v>
      </c>
      <c r="G627" s="188">
        <f t="shared" si="276"/>
        <v>0</v>
      </c>
      <c r="H627" s="188">
        <f t="shared" si="276"/>
        <v>0</v>
      </c>
      <c r="I627" s="188">
        <f t="shared" si="276"/>
        <v>1.3379000000000001</v>
      </c>
      <c r="J627" s="188">
        <f t="shared" si="276"/>
        <v>0</v>
      </c>
      <c r="K627" s="261">
        <f t="shared" si="263"/>
        <v>1.3379000000000001</v>
      </c>
      <c r="L627" s="52"/>
      <c r="M627" s="794"/>
      <c r="N627" s="222"/>
      <c r="O627" s="72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6"/>
    </row>
    <row r="628" spans="1:57" s="48" customFormat="1" x14ac:dyDescent="0.2">
      <c r="A628" s="791"/>
      <c r="B628" s="701"/>
      <c r="C628" s="648"/>
      <c r="D628" s="189">
        <v>2025</v>
      </c>
      <c r="E628" s="188">
        <f t="shared" si="276"/>
        <v>1.3379000000000001</v>
      </c>
      <c r="F628" s="188">
        <f t="shared" si="276"/>
        <v>0</v>
      </c>
      <c r="G628" s="188">
        <f t="shared" si="276"/>
        <v>0</v>
      </c>
      <c r="H628" s="188">
        <f t="shared" si="276"/>
        <v>0</v>
      </c>
      <c r="I628" s="188">
        <f t="shared" si="276"/>
        <v>1.3379000000000001</v>
      </c>
      <c r="J628" s="188">
        <f t="shared" si="276"/>
        <v>0</v>
      </c>
      <c r="K628" s="261">
        <f t="shared" si="263"/>
        <v>1.3379000000000001</v>
      </c>
      <c r="L628" s="52"/>
      <c r="M628" s="794"/>
      <c r="N628" s="222"/>
      <c r="O628" s="72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6"/>
    </row>
    <row r="629" spans="1:57" s="48" customFormat="1" x14ac:dyDescent="0.2">
      <c r="A629" s="792"/>
      <c r="B629" s="702"/>
      <c r="C629" s="648"/>
      <c r="D629" s="189">
        <v>2026</v>
      </c>
      <c r="E629" s="188">
        <f t="shared" si="276"/>
        <v>1.3379000000000001</v>
      </c>
      <c r="F629" s="188">
        <f t="shared" si="276"/>
        <v>0</v>
      </c>
      <c r="G629" s="188">
        <f t="shared" si="276"/>
        <v>0</v>
      </c>
      <c r="H629" s="188">
        <f t="shared" si="276"/>
        <v>0</v>
      </c>
      <c r="I629" s="188">
        <f t="shared" si="276"/>
        <v>1.3379000000000001</v>
      </c>
      <c r="J629" s="188">
        <f t="shared" si="276"/>
        <v>0</v>
      </c>
      <c r="K629" s="261">
        <f t="shared" si="263"/>
        <v>1.3379000000000001</v>
      </c>
      <c r="L629" s="52"/>
      <c r="M629" s="794"/>
      <c r="N629" s="222"/>
      <c r="O629" s="72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6"/>
    </row>
    <row r="630" spans="1:57" s="48" customFormat="1" x14ac:dyDescent="0.2">
      <c r="A630" s="697" t="s">
        <v>1020</v>
      </c>
      <c r="B630" s="631" t="s">
        <v>450</v>
      </c>
      <c r="C630" s="250"/>
      <c r="D630" s="46" t="s">
        <v>198</v>
      </c>
      <c r="E630" s="47">
        <f>E631+E632</f>
        <v>0.9708</v>
      </c>
      <c r="F630" s="47">
        <f t="shared" ref="F630:J630" si="277">F631+F632</f>
        <v>0</v>
      </c>
      <c r="G630" s="47">
        <f t="shared" si="277"/>
        <v>0</v>
      </c>
      <c r="H630" s="47">
        <f t="shared" si="277"/>
        <v>0</v>
      </c>
      <c r="I630" s="47">
        <f t="shared" si="277"/>
        <v>0.9708</v>
      </c>
      <c r="J630" s="47">
        <f t="shared" si="277"/>
        <v>0</v>
      </c>
      <c r="K630" s="261">
        <f t="shared" si="263"/>
        <v>0.9708</v>
      </c>
      <c r="L630" s="52"/>
      <c r="M630" s="794"/>
      <c r="N630" s="222"/>
      <c r="O630" s="72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6"/>
    </row>
    <row r="631" spans="1:57" s="48" customFormat="1" x14ac:dyDescent="0.2">
      <c r="A631" s="698"/>
      <c r="B631" s="648"/>
      <c r="C631" s="250"/>
      <c r="D631" s="189">
        <v>2020</v>
      </c>
      <c r="E631" s="188">
        <f t="shared" ref="E631:J632" si="278">E633</f>
        <v>0.66839999999999999</v>
      </c>
      <c r="F631" s="188">
        <f t="shared" si="278"/>
        <v>0</v>
      </c>
      <c r="G631" s="188">
        <f t="shared" si="278"/>
        <v>0</v>
      </c>
      <c r="H631" s="188">
        <f t="shared" si="278"/>
        <v>0</v>
      </c>
      <c r="I631" s="188">
        <f t="shared" si="278"/>
        <v>0.66839999999999999</v>
      </c>
      <c r="J631" s="188">
        <f t="shared" si="278"/>
        <v>0</v>
      </c>
      <c r="K631" s="261">
        <f t="shared" si="263"/>
        <v>0.66839999999999999</v>
      </c>
      <c r="L631" s="52"/>
      <c r="M631" s="794"/>
      <c r="N631" s="222"/>
      <c r="O631" s="72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6"/>
    </row>
    <row r="632" spans="1:57" s="48" customFormat="1" x14ac:dyDescent="0.2">
      <c r="A632" s="699"/>
      <c r="B632" s="632"/>
      <c r="C632" s="250"/>
      <c r="D632" s="189">
        <v>2021</v>
      </c>
      <c r="E632" s="188">
        <f t="shared" si="278"/>
        <v>0.3024</v>
      </c>
      <c r="F632" s="188">
        <f t="shared" si="278"/>
        <v>0</v>
      </c>
      <c r="G632" s="188">
        <f t="shared" si="278"/>
        <v>0</v>
      </c>
      <c r="H632" s="188">
        <f t="shared" si="278"/>
        <v>0</v>
      </c>
      <c r="I632" s="188">
        <f t="shared" si="278"/>
        <v>0.3024</v>
      </c>
      <c r="J632" s="188">
        <f t="shared" si="278"/>
        <v>0</v>
      </c>
      <c r="K632" s="261">
        <f t="shared" si="263"/>
        <v>0.3024</v>
      </c>
      <c r="L632" s="52"/>
      <c r="M632" s="794"/>
      <c r="N632" s="222"/>
      <c r="O632" s="72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6"/>
    </row>
    <row r="633" spans="1:57" s="48" customFormat="1" ht="38.25" x14ac:dyDescent="0.2">
      <c r="A633" s="168" t="s">
        <v>1021</v>
      </c>
      <c r="B633" s="183" t="s">
        <v>451</v>
      </c>
      <c r="C633" s="250"/>
      <c r="D633" s="189">
        <v>2020</v>
      </c>
      <c r="E633" s="188">
        <f>F633+G633+H633+I633+J633</f>
        <v>0.66839999999999999</v>
      </c>
      <c r="F633" s="188">
        <v>0</v>
      </c>
      <c r="G633" s="188">
        <v>0</v>
      </c>
      <c r="H633" s="188">
        <v>0</v>
      </c>
      <c r="I633" s="188">
        <v>0.66839999999999999</v>
      </c>
      <c r="J633" s="188">
        <v>0</v>
      </c>
      <c r="K633" s="261">
        <f t="shared" si="263"/>
        <v>0.66839999999999999</v>
      </c>
      <c r="L633" s="52"/>
      <c r="M633" s="794"/>
      <c r="N633" s="222"/>
      <c r="O633" s="72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6"/>
    </row>
    <row r="634" spans="1:57" s="48" customFormat="1" ht="51" x14ac:dyDescent="0.2">
      <c r="A634" s="168" t="s">
        <v>1022</v>
      </c>
      <c r="B634" s="183" t="s">
        <v>452</v>
      </c>
      <c r="C634" s="250"/>
      <c r="D634" s="189">
        <v>2021</v>
      </c>
      <c r="E634" s="188">
        <f>F634+G634+H634+I634+J634</f>
        <v>0.3024</v>
      </c>
      <c r="F634" s="188">
        <v>0</v>
      </c>
      <c r="G634" s="188">
        <v>0</v>
      </c>
      <c r="H634" s="188">
        <v>0</v>
      </c>
      <c r="I634" s="188">
        <v>0.3024</v>
      </c>
      <c r="J634" s="188">
        <v>0</v>
      </c>
      <c r="K634" s="261">
        <f t="shared" si="263"/>
        <v>0.3024</v>
      </c>
      <c r="L634" s="52"/>
      <c r="M634" s="794"/>
      <c r="N634" s="222"/>
      <c r="O634" s="72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6"/>
    </row>
    <row r="635" spans="1:57" s="48" customFormat="1" x14ac:dyDescent="0.2">
      <c r="A635" s="697" t="s">
        <v>1023</v>
      </c>
      <c r="B635" s="631" t="s">
        <v>453</v>
      </c>
      <c r="C635" s="250"/>
      <c r="D635" s="46" t="s">
        <v>198</v>
      </c>
      <c r="E635" s="47">
        <f>E636+E637</f>
        <v>0.75990000000000002</v>
      </c>
      <c r="F635" s="47">
        <f t="shared" ref="F635:J635" si="279">F636+F637</f>
        <v>0</v>
      </c>
      <c r="G635" s="47">
        <f t="shared" si="279"/>
        <v>0</v>
      </c>
      <c r="H635" s="47">
        <f t="shared" si="279"/>
        <v>0</v>
      </c>
      <c r="I635" s="47">
        <f t="shared" si="279"/>
        <v>0.75990000000000002</v>
      </c>
      <c r="J635" s="47">
        <f t="shared" si="279"/>
        <v>0</v>
      </c>
      <c r="K635" s="261">
        <f t="shared" si="263"/>
        <v>0.75990000000000002</v>
      </c>
      <c r="L635" s="52"/>
      <c r="M635" s="794"/>
      <c r="N635" s="222"/>
      <c r="O635" s="72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6"/>
    </row>
    <row r="636" spans="1:57" s="48" customFormat="1" x14ac:dyDescent="0.2">
      <c r="A636" s="698"/>
      <c r="B636" s="701"/>
      <c r="C636" s="250"/>
      <c r="D636" s="189">
        <v>2019</v>
      </c>
      <c r="E636" s="188">
        <f t="shared" ref="E636:J637" si="280">E638</f>
        <v>0.2369</v>
      </c>
      <c r="F636" s="188">
        <f t="shared" si="280"/>
        <v>0</v>
      </c>
      <c r="G636" s="188">
        <f t="shared" si="280"/>
        <v>0</v>
      </c>
      <c r="H636" s="188">
        <f t="shared" si="280"/>
        <v>0</v>
      </c>
      <c r="I636" s="188">
        <f t="shared" si="280"/>
        <v>0.2369</v>
      </c>
      <c r="J636" s="188">
        <f t="shared" si="280"/>
        <v>0</v>
      </c>
      <c r="K636" s="261">
        <f t="shared" si="263"/>
        <v>0.2369</v>
      </c>
      <c r="L636" s="52"/>
      <c r="M636" s="794"/>
      <c r="N636" s="222"/>
      <c r="O636" s="72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6"/>
    </row>
    <row r="637" spans="1:57" s="48" customFormat="1" x14ac:dyDescent="0.2">
      <c r="A637" s="699"/>
      <c r="B637" s="702"/>
      <c r="C637" s="250"/>
      <c r="D637" s="189">
        <v>2021</v>
      </c>
      <c r="E637" s="188">
        <f t="shared" si="280"/>
        <v>0.52300000000000002</v>
      </c>
      <c r="F637" s="188">
        <f t="shared" si="280"/>
        <v>0</v>
      </c>
      <c r="G637" s="188">
        <f t="shared" si="280"/>
        <v>0</v>
      </c>
      <c r="H637" s="188">
        <f t="shared" si="280"/>
        <v>0</v>
      </c>
      <c r="I637" s="188">
        <f t="shared" si="280"/>
        <v>0.52300000000000002</v>
      </c>
      <c r="J637" s="188">
        <f t="shared" si="280"/>
        <v>0</v>
      </c>
      <c r="K637" s="261">
        <f t="shared" si="263"/>
        <v>0.52300000000000002</v>
      </c>
      <c r="L637" s="52"/>
      <c r="M637" s="794"/>
      <c r="N637" s="222"/>
      <c r="O637" s="72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6"/>
    </row>
    <row r="638" spans="1:57" s="48" customFormat="1" ht="25.5" x14ac:dyDescent="0.2">
      <c r="A638" s="168" t="s">
        <v>1024</v>
      </c>
      <c r="B638" s="183" t="s">
        <v>454</v>
      </c>
      <c r="C638" s="250"/>
      <c r="D638" s="189">
        <v>2019</v>
      </c>
      <c r="E638" s="188">
        <f>F638+G638+H638+J638+I638</f>
        <v>0.2369</v>
      </c>
      <c r="F638" s="188">
        <v>0</v>
      </c>
      <c r="G638" s="188">
        <v>0</v>
      </c>
      <c r="H638" s="188">
        <v>0</v>
      </c>
      <c r="I638" s="188">
        <v>0.2369</v>
      </c>
      <c r="J638" s="188">
        <v>0</v>
      </c>
      <c r="K638" s="261">
        <f t="shared" si="263"/>
        <v>0.2369</v>
      </c>
      <c r="L638" s="52"/>
      <c r="M638" s="794"/>
      <c r="N638" s="222"/>
      <c r="O638" s="72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6"/>
    </row>
    <row r="639" spans="1:57" s="48" customFormat="1" x14ac:dyDescent="0.2">
      <c r="A639" s="168" t="s">
        <v>1025</v>
      </c>
      <c r="B639" s="183" t="s">
        <v>455</v>
      </c>
      <c r="C639" s="250"/>
      <c r="D639" s="189">
        <v>2021</v>
      </c>
      <c r="E639" s="188">
        <f>F639+G639+H639+J639+I639</f>
        <v>0.52300000000000002</v>
      </c>
      <c r="F639" s="188">
        <v>0</v>
      </c>
      <c r="G639" s="188">
        <v>0</v>
      </c>
      <c r="H639" s="188">
        <v>0</v>
      </c>
      <c r="I639" s="188">
        <v>0.52300000000000002</v>
      </c>
      <c r="J639" s="188">
        <v>0</v>
      </c>
      <c r="K639" s="261">
        <f t="shared" si="263"/>
        <v>0.52300000000000002</v>
      </c>
      <c r="L639" s="52"/>
      <c r="M639" s="794"/>
      <c r="N639" s="222"/>
      <c r="O639" s="72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6"/>
    </row>
    <row r="640" spans="1:57" s="48" customFormat="1" x14ac:dyDescent="0.2">
      <c r="A640" s="697" t="s">
        <v>1026</v>
      </c>
      <c r="B640" s="631" t="s">
        <v>456</v>
      </c>
      <c r="C640" s="250"/>
      <c r="D640" s="46" t="s">
        <v>198</v>
      </c>
      <c r="E640" s="47">
        <f>E641+E642</f>
        <v>0.80699999999999994</v>
      </c>
      <c r="F640" s="47">
        <f t="shared" ref="F640:J640" si="281">F641+F642</f>
        <v>0</v>
      </c>
      <c r="G640" s="47">
        <f t="shared" si="281"/>
        <v>0</v>
      </c>
      <c r="H640" s="47">
        <f t="shared" si="281"/>
        <v>0</v>
      </c>
      <c r="I640" s="47">
        <f t="shared" si="281"/>
        <v>0.80699999999999994</v>
      </c>
      <c r="J640" s="47">
        <f t="shared" si="281"/>
        <v>0</v>
      </c>
      <c r="K640" s="261">
        <f t="shared" si="263"/>
        <v>0.80699999999999994</v>
      </c>
      <c r="L640" s="52"/>
      <c r="M640" s="794"/>
      <c r="N640" s="222"/>
      <c r="O640" s="72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6"/>
    </row>
    <row r="641" spans="1:57" s="48" customFormat="1" x14ac:dyDescent="0.2">
      <c r="A641" s="698"/>
      <c r="B641" s="701"/>
      <c r="C641" s="250"/>
      <c r="D641" s="189">
        <v>2020</v>
      </c>
      <c r="E641" s="188">
        <f>E643</f>
        <v>7.6999999999999999E-2</v>
      </c>
      <c r="F641" s="188">
        <f t="shared" ref="F641:J642" si="282">F643</f>
        <v>0</v>
      </c>
      <c r="G641" s="188">
        <f t="shared" si="282"/>
        <v>0</v>
      </c>
      <c r="H641" s="188">
        <f t="shared" si="282"/>
        <v>0</v>
      </c>
      <c r="I641" s="188">
        <f t="shared" si="282"/>
        <v>7.6999999999999999E-2</v>
      </c>
      <c r="J641" s="188">
        <f t="shared" si="282"/>
        <v>0</v>
      </c>
      <c r="K641" s="261">
        <f t="shared" si="263"/>
        <v>7.6999999999999999E-2</v>
      </c>
      <c r="L641" s="52"/>
      <c r="M641" s="794"/>
      <c r="N641" s="222"/>
      <c r="O641" s="72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6"/>
    </row>
    <row r="642" spans="1:57" s="48" customFormat="1" x14ac:dyDescent="0.2">
      <c r="A642" s="699"/>
      <c r="B642" s="702"/>
      <c r="C642" s="250"/>
      <c r="D642" s="189">
        <v>2021</v>
      </c>
      <c r="E642" s="188">
        <f>E644</f>
        <v>0.73</v>
      </c>
      <c r="F642" s="188">
        <f t="shared" si="282"/>
        <v>0</v>
      </c>
      <c r="G642" s="188">
        <f t="shared" si="282"/>
        <v>0</v>
      </c>
      <c r="H642" s="188">
        <f t="shared" si="282"/>
        <v>0</v>
      </c>
      <c r="I642" s="188">
        <f t="shared" si="282"/>
        <v>0.73</v>
      </c>
      <c r="J642" s="188">
        <f t="shared" si="282"/>
        <v>0</v>
      </c>
      <c r="K642" s="261">
        <f t="shared" si="263"/>
        <v>0.73</v>
      </c>
      <c r="L642" s="52"/>
      <c r="M642" s="794"/>
      <c r="N642" s="222"/>
      <c r="O642" s="72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6"/>
    </row>
    <row r="643" spans="1:57" s="48" customFormat="1" x14ac:dyDescent="0.2">
      <c r="A643" s="168" t="s">
        <v>1027</v>
      </c>
      <c r="B643" s="183" t="s">
        <v>457</v>
      </c>
      <c r="C643" s="250"/>
      <c r="D643" s="189">
        <v>2020</v>
      </c>
      <c r="E643" s="188">
        <f>F643+G643+H643+I643+J643</f>
        <v>7.6999999999999999E-2</v>
      </c>
      <c r="F643" s="188">
        <v>0</v>
      </c>
      <c r="G643" s="188">
        <v>0</v>
      </c>
      <c r="H643" s="188">
        <v>0</v>
      </c>
      <c r="I643" s="188">
        <v>7.6999999999999999E-2</v>
      </c>
      <c r="J643" s="188">
        <v>0</v>
      </c>
      <c r="K643" s="261">
        <f t="shared" si="263"/>
        <v>7.6999999999999999E-2</v>
      </c>
      <c r="L643" s="52"/>
      <c r="M643" s="794"/>
      <c r="N643" s="222"/>
      <c r="O643" s="72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6"/>
    </row>
    <row r="644" spans="1:57" s="48" customFormat="1" ht="38.25" x14ac:dyDescent="0.2">
      <c r="A644" s="168" t="s">
        <v>1028</v>
      </c>
      <c r="B644" s="183" t="s">
        <v>458</v>
      </c>
      <c r="C644" s="250"/>
      <c r="D644" s="189">
        <v>2021</v>
      </c>
      <c r="E644" s="188">
        <f>F644+G644+H644+I644+J644</f>
        <v>0.73</v>
      </c>
      <c r="F644" s="188">
        <v>0</v>
      </c>
      <c r="G644" s="188">
        <v>0</v>
      </c>
      <c r="H644" s="188">
        <v>0</v>
      </c>
      <c r="I644" s="188">
        <v>0.73</v>
      </c>
      <c r="J644" s="188">
        <v>0</v>
      </c>
      <c r="K644" s="261">
        <f t="shared" si="263"/>
        <v>0.73</v>
      </c>
      <c r="L644" s="52"/>
      <c r="M644" s="794"/>
      <c r="N644" s="222"/>
      <c r="O644" s="72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6"/>
    </row>
    <row r="645" spans="1:57" s="48" customFormat="1" ht="24.75" customHeight="1" x14ac:dyDescent="0.2">
      <c r="A645" s="697" t="s">
        <v>1029</v>
      </c>
      <c r="B645" s="631" t="s">
        <v>459</v>
      </c>
      <c r="C645" s="250"/>
      <c r="D645" s="46" t="s">
        <v>198</v>
      </c>
      <c r="E645" s="47">
        <f>E646+E647+E648+E649+E650+E651+E652</f>
        <v>7.6816000000000013</v>
      </c>
      <c r="F645" s="47">
        <f t="shared" ref="F645:J645" si="283">F646+F647+F648+F649+F650+F651+F652</f>
        <v>0</v>
      </c>
      <c r="G645" s="47">
        <f t="shared" si="283"/>
        <v>0</v>
      </c>
      <c r="H645" s="47">
        <f t="shared" si="283"/>
        <v>0</v>
      </c>
      <c r="I645" s="47">
        <f t="shared" si="283"/>
        <v>7.6816000000000013</v>
      </c>
      <c r="J645" s="47">
        <f t="shared" si="283"/>
        <v>0</v>
      </c>
      <c r="K645" s="261">
        <f t="shared" si="263"/>
        <v>7.6816000000000013</v>
      </c>
      <c r="L645" s="52"/>
      <c r="M645" s="794"/>
      <c r="N645" s="222"/>
      <c r="O645" s="72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6"/>
    </row>
    <row r="646" spans="1:57" s="48" customFormat="1" x14ac:dyDescent="0.2">
      <c r="A646" s="698"/>
      <c r="B646" s="648"/>
      <c r="C646" s="250"/>
      <c r="D646" s="189">
        <v>2019</v>
      </c>
      <c r="E646" s="188">
        <f t="shared" ref="E646:J652" si="284">E653</f>
        <v>1.4332</v>
      </c>
      <c r="F646" s="188">
        <f t="shared" si="284"/>
        <v>0</v>
      </c>
      <c r="G646" s="188">
        <f t="shared" si="284"/>
        <v>0</v>
      </c>
      <c r="H646" s="188">
        <f t="shared" si="284"/>
        <v>0</v>
      </c>
      <c r="I646" s="188">
        <f t="shared" si="284"/>
        <v>1.4332</v>
      </c>
      <c r="J646" s="188">
        <f t="shared" si="284"/>
        <v>0</v>
      </c>
      <c r="K646" s="261">
        <f t="shared" si="263"/>
        <v>1.4332</v>
      </c>
      <c r="L646" s="52"/>
      <c r="M646" s="794"/>
      <c r="N646" s="222"/>
      <c r="O646" s="72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6"/>
    </row>
    <row r="647" spans="1:57" s="48" customFormat="1" x14ac:dyDescent="0.2">
      <c r="A647" s="698"/>
      <c r="B647" s="648"/>
      <c r="C647" s="250"/>
      <c r="D647" s="189">
        <v>2021</v>
      </c>
      <c r="E647" s="188">
        <f t="shared" si="284"/>
        <v>0.2165</v>
      </c>
      <c r="F647" s="188">
        <f t="shared" si="284"/>
        <v>0</v>
      </c>
      <c r="G647" s="188">
        <f t="shared" si="284"/>
        <v>0</v>
      </c>
      <c r="H647" s="188">
        <f t="shared" si="284"/>
        <v>0</v>
      </c>
      <c r="I647" s="188">
        <f t="shared" si="284"/>
        <v>0.2165</v>
      </c>
      <c r="J647" s="188">
        <f t="shared" si="284"/>
        <v>0</v>
      </c>
      <c r="K647" s="261">
        <f t="shared" si="263"/>
        <v>0.2165</v>
      </c>
      <c r="L647" s="52"/>
      <c r="M647" s="794"/>
      <c r="N647" s="222"/>
      <c r="O647" s="72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6"/>
    </row>
    <row r="648" spans="1:57" s="48" customFormat="1" x14ac:dyDescent="0.2">
      <c r="A648" s="698"/>
      <c r="B648" s="648"/>
      <c r="C648" s="250"/>
      <c r="D648" s="189">
        <v>2022</v>
      </c>
      <c r="E648" s="188">
        <f t="shared" si="284"/>
        <v>0.68030000000000002</v>
      </c>
      <c r="F648" s="188">
        <f t="shared" si="284"/>
        <v>0</v>
      </c>
      <c r="G648" s="188">
        <f t="shared" si="284"/>
        <v>0</v>
      </c>
      <c r="H648" s="188">
        <f t="shared" si="284"/>
        <v>0</v>
      </c>
      <c r="I648" s="188">
        <f t="shared" si="284"/>
        <v>0.68030000000000002</v>
      </c>
      <c r="J648" s="188">
        <f t="shared" si="284"/>
        <v>0</v>
      </c>
      <c r="K648" s="261">
        <f t="shared" si="263"/>
        <v>0.68030000000000002</v>
      </c>
      <c r="L648" s="52"/>
      <c r="M648" s="794"/>
      <c r="N648" s="222"/>
      <c r="O648" s="72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6"/>
    </row>
    <row r="649" spans="1:57" s="48" customFormat="1" x14ac:dyDescent="0.2">
      <c r="A649" s="698"/>
      <c r="B649" s="648"/>
      <c r="C649" s="250"/>
      <c r="D649" s="189">
        <v>2023</v>
      </c>
      <c r="E649" s="188">
        <f t="shared" si="284"/>
        <v>1.3379000000000001</v>
      </c>
      <c r="F649" s="188">
        <f t="shared" si="284"/>
        <v>0</v>
      </c>
      <c r="G649" s="188">
        <f t="shared" si="284"/>
        <v>0</v>
      </c>
      <c r="H649" s="188">
        <f t="shared" si="284"/>
        <v>0</v>
      </c>
      <c r="I649" s="188">
        <f t="shared" si="284"/>
        <v>1.3379000000000001</v>
      </c>
      <c r="J649" s="188">
        <f t="shared" si="284"/>
        <v>0</v>
      </c>
      <c r="K649" s="261">
        <f t="shared" si="263"/>
        <v>1.3379000000000001</v>
      </c>
      <c r="L649" s="52"/>
      <c r="M649" s="794"/>
      <c r="N649" s="222"/>
      <c r="O649" s="72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6"/>
    </row>
    <row r="650" spans="1:57" s="48" customFormat="1" x14ac:dyDescent="0.2">
      <c r="A650" s="698"/>
      <c r="B650" s="648"/>
      <c r="C650" s="250"/>
      <c r="D650" s="189">
        <v>2024</v>
      </c>
      <c r="E650" s="188">
        <f t="shared" si="284"/>
        <v>1.3379000000000001</v>
      </c>
      <c r="F650" s="188">
        <f t="shared" si="284"/>
        <v>0</v>
      </c>
      <c r="G650" s="188">
        <f t="shared" si="284"/>
        <v>0</v>
      </c>
      <c r="H650" s="188">
        <f t="shared" si="284"/>
        <v>0</v>
      </c>
      <c r="I650" s="188">
        <f t="shared" si="284"/>
        <v>1.3379000000000001</v>
      </c>
      <c r="J650" s="188">
        <f t="shared" ref="J650:J651" si="285">J660</f>
        <v>0</v>
      </c>
      <c r="K650" s="261">
        <f t="shared" si="263"/>
        <v>1.3379000000000001</v>
      </c>
      <c r="L650" s="52"/>
      <c r="M650" s="794"/>
      <c r="N650" s="222"/>
      <c r="O650" s="72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6"/>
    </row>
    <row r="651" spans="1:57" s="48" customFormat="1" x14ac:dyDescent="0.2">
      <c r="A651" s="698"/>
      <c r="B651" s="648"/>
      <c r="C651" s="250"/>
      <c r="D651" s="189">
        <v>2025</v>
      </c>
      <c r="E651" s="188">
        <f t="shared" si="284"/>
        <v>1.3379000000000001</v>
      </c>
      <c r="F651" s="188">
        <f t="shared" si="284"/>
        <v>0</v>
      </c>
      <c r="G651" s="188">
        <f t="shared" si="284"/>
        <v>0</v>
      </c>
      <c r="H651" s="188">
        <f t="shared" si="284"/>
        <v>0</v>
      </c>
      <c r="I651" s="188">
        <f t="shared" si="284"/>
        <v>1.3379000000000001</v>
      </c>
      <c r="J651" s="188">
        <f t="shared" si="285"/>
        <v>0</v>
      </c>
      <c r="K651" s="261">
        <f t="shared" si="263"/>
        <v>1.3379000000000001</v>
      </c>
      <c r="L651" s="52"/>
      <c r="M651" s="794"/>
      <c r="N651" s="222"/>
      <c r="O651" s="72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6"/>
    </row>
    <row r="652" spans="1:57" s="48" customFormat="1" ht="24.75" customHeight="1" x14ac:dyDescent="0.2">
      <c r="A652" s="699"/>
      <c r="B652" s="632"/>
      <c r="C652" s="250"/>
      <c r="D652" s="189">
        <v>2026</v>
      </c>
      <c r="E652" s="188">
        <f t="shared" si="284"/>
        <v>1.3379000000000001</v>
      </c>
      <c r="F652" s="188">
        <f t="shared" si="284"/>
        <v>0</v>
      </c>
      <c r="G652" s="188">
        <f t="shared" si="284"/>
        <v>0</v>
      </c>
      <c r="H652" s="188">
        <f t="shared" si="284"/>
        <v>0</v>
      </c>
      <c r="I652" s="188">
        <f t="shared" si="284"/>
        <v>1.3379000000000001</v>
      </c>
      <c r="J652" s="188">
        <f t="shared" si="284"/>
        <v>0</v>
      </c>
      <c r="K652" s="261">
        <f t="shared" ref="K652:K718" si="286">F652+G652+H652+I652+J652</f>
        <v>1.3379000000000001</v>
      </c>
      <c r="L652" s="52"/>
      <c r="M652" s="794"/>
      <c r="N652" s="222"/>
      <c r="O652" s="72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6"/>
    </row>
    <row r="653" spans="1:57" s="48" customFormat="1" x14ac:dyDescent="0.2">
      <c r="A653" s="158" t="s">
        <v>1030</v>
      </c>
      <c r="B653" s="181" t="s">
        <v>460</v>
      </c>
      <c r="C653" s="250"/>
      <c r="D653" s="189">
        <v>2019</v>
      </c>
      <c r="E653" s="188">
        <f>F653+G653+H653+I653+J653</f>
        <v>1.4332</v>
      </c>
      <c r="F653" s="188">
        <v>0</v>
      </c>
      <c r="G653" s="188">
        <v>0</v>
      </c>
      <c r="H653" s="188">
        <v>0</v>
      </c>
      <c r="I653" s="188">
        <v>1.4332</v>
      </c>
      <c r="J653" s="188">
        <v>0</v>
      </c>
      <c r="K653" s="261">
        <f t="shared" si="286"/>
        <v>1.4332</v>
      </c>
      <c r="L653" s="52"/>
      <c r="M653" s="794"/>
      <c r="N653" s="222"/>
      <c r="O653" s="72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6"/>
    </row>
    <row r="654" spans="1:57" s="48" customFormat="1" x14ac:dyDescent="0.2">
      <c r="A654" s="158" t="s">
        <v>1031</v>
      </c>
      <c r="B654" s="181" t="s">
        <v>461</v>
      </c>
      <c r="C654" s="250"/>
      <c r="D654" s="189">
        <v>2021</v>
      </c>
      <c r="E654" s="188">
        <f>F654+G654+H654+I654+J654</f>
        <v>0.2165</v>
      </c>
      <c r="F654" s="188">
        <v>0</v>
      </c>
      <c r="G654" s="188">
        <v>0</v>
      </c>
      <c r="H654" s="188">
        <v>0</v>
      </c>
      <c r="I654" s="188">
        <v>0.2165</v>
      </c>
      <c r="J654" s="188">
        <v>0</v>
      </c>
      <c r="K654" s="261">
        <f t="shared" si="286"/>
        <v>0.2165</v>
      </c>
      <c r="L654" s="52"/>
      <c r="M654" s="794"/>
      <c r="N654" s="222"/>
      <c r="O654" s="72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6"/>
    </row>
    <row r="655" spans="1:57" s="48" customFormat="1" ht="38.25" x14ac:dyDescent="0.2">
      <c r="A655" s="168" t="s">
        <v>1032</v>
      </c>
      <c r="B655" s="183" t="s">
        <v>462</v>
      </c>
      <c r="C655" s="250"/>
      <c r="D655" s="189">
        <v>2022</v>
      </c>
      <c r="E655" s="188">
        <f t="shared" ref="E655:E659" si="287">F655+G655+H655+I655+J655</f>
        <v>0.68030000000000002</v>
      </c>
      <c r="F655" s="188">
        <v>0</v>
      </c>
      <c r="G655" s="188">
        <v>0</v>
      </c>
      <c r="H655" s="188">
        <v>0</v>
      </c>
      <c r="I655" s="188">
        <v>0.68030000000000002</v>
      </c>
      <c r="J655" s="188">
        <v>0</v>
      </c>
      <c r="K655" s="261">
        <f t="shared" si="286"/>
        <v>0.68030000000000002</v>
      </c>
      <c r="L655" s="52"/>
      <c r="M655" s="794"/>
      <c r="N655" s="222"/>
      <c r="O655" s="72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6"/>
    </row>
    <row r="656" spans="1:57" s="48" customFormat="1" x14ac:dyDescent="0.2">
      <c r="A656" s="697" t="s">
        <v>1033</v>
      </c>
      <c r="B656" s="631" t="s">
        <v>463</v>
      </c>
      <c r="C656" s="250"/>
      <c r="D656" s="189">
        <v>2023</v>
      </c>
      <c r="E656" s="188">
        <f t="shared" si="287"/>
        <v>1.3379000000000001</v>
      </c>
      <c r="F656" s="188">
        <v>0</v>
      </c>
      <c r="G656" s="188">
        <v>0</v>
      </c>
      <c r="H656" s="188">
        <v>0</v>
      </c>
      <c r="I656" s="188">
        <v>1.3379000000000001</v>
      </c>
      <c r="J656" s="188">
        <v>0</v>
      </c>
      <c r="K656" s="261">
        <f t="shared" si="286"/>
        <v>1.3379000000000001</v>
      </c>
      <c r="L656" s="52"/>
      <c r="M656" s="794"/>
      <c r="N656" s="222"/>
      <c r="O656" s="72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6"/>
    </row>
    <row r="657" spans="1:57" s="48" customFormat="1" x14ac:dyDescent="0.2">
      <c r="A657" s="698"/>
      <c r="B657" s="648"/>
      <c r="C657" s="250"/>
      <c r="D657" s="189">
        <v>2024</v>
      </c>
      <c r="E657" s="188">
        <f t="shared" si="287"/>
        <v>1.3379000000000001</v>
      </c>
      <c r="F657" s="188">
        <v>0</v>
      </c>
      <c r="G657" s="188">
        <v>0</v>
      </c>
      <c r="H657" s="188">
        <v>0</v>
      </c>
      <c r="I657" s="188">
        <v>1.3379000000000001</v>
      </c>
      <c r="J657" s="188">
        <v>0</v>
      </c>
      <c r="K657" s="261">
        <f t="shared" si="286"/>
        <v>1.3379000000000001</v>
      </c>
      <c r="L657" s="52"/>
      <c r="M657" s="794"/>
      <c r="N657" s="222"/>
      <c r="O657" s="72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6"/>
    </row>
    <row r="658" spans="1:57" s="48" customFormat="1" x14ac:dyDescent="0.2">
      <c r="A658" s="698"/>
      <c r="B658" s="648"/>
      <c r="C658" s="250"/>
      <c r="D658" s="189">
        <v>2025</v>
      </c>
      <c r="E658" s="188">
        <f t="shared" si="287"/>
        <v>1.3379000000000001</v>
      </c>
      <c r="F658" s="188">
        <v>0</v>
      </c>
      <c r="G658" s="188">
        <v>0</v>
      </c>
      <c r="H658" s="188">
        <v>0</v>
      </c>
      <c r="I658" s="188">
        <v>1.3379000000000001</v>
      </c>
      <c r="J658" s="188">
        <v>0</v>
      </c>
      <c r="K658" s="261">
        <f t="shared" si="286"/>
        <v>1.3379000000000001</v>
      </c>
      <c r="L658" s="52"/>
      <c r="M658" s="794"/>
      <c r="N658" s="222"/>
      <c r="O658" s="72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6"/>
    </row>
    <row r="659" spans="1:57" s="48" customFormat="1" x14ac:dyDescent="0.2">
      <c r="A659" s="698"/>
      <c r="B659" s="648"/>
      <c r="C659" s="250"/>
      <c r="D659" s="189">
        <v>2026</v>
      </c>
      <c r="E659" s="188">
        <f t="shared" si="287"/>
        <v>1.3379000000000001</v>
      </c>
      <c r="F659" s="188">
        <v>0</v>
      </c>
      <c r="G659" s="188">
        <v>0</v>
      </c>
      <c r="H659" s="188">
        <v>0</v>
      </c>
      <c r="I659" s="188">
        <v>1.3379000000000001</v>
      </c>
      <c r="J659" s="188">
        <v>0</v>
      </c>
      <c r="K659" s="261">
        <f t="shared" si="286"/>
        <v>1.3379000000000001</v>
      </c>
      <c r="L659" s="52"/>
      <c r="M659" s="794"/>
      <c r="N659" s="222"/>
      <c r="O659" s="72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6"/>
    </row>
    <row r="660" spans="1:57" s="48" customFormat="1" x14ac:dyDescent="0.2">
      <c r="A660" s="168" t="s">
        <v>1034</v>
      </c>
      <c r="B660" s="183" t="s">
        <v>464</v>
      </c>
      <c r="C660" s="250"/>
      <c r="D660" s="46" t="s">
        <v>198</v>
      </c>
      <c r="E660" s="47">
        <f>E661</f>
        <v>0.28520000000000001</v>
      </c>
      <c r="F660" s="47">
        <f t="shared" ref="F660:J660" si="288">F661</f>
        <v>0</v>
      </c>
      <c r="G660" s="47">
        <f t="shared" si="288"/>
        <v>0</v>
      </c>
      <c r="H660" s="47">
        <f t="shared" si="288"/>
        <v>0</v>
      </c>
      <c r="I660" s="47">
        <f t="shared" si="288"/>
        <v>0.28520000000000001</v>
      </c>
      <c r="J660" s="47">
        <f t="shared" si="288"/>
        <v>0</v>
      </c>
      <c r="K660" s="261">
        <f t="shared" si="286"/>
        <v>0.28520000000000001</v>
      </c>
      <c r="L660" s="52"/>
      <c r="M660" s="794"/>
      <c r="N660" s="222"/>
      <c r="O660" s="72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6"/>
    </row>
    <row r="661" spans="1:57" s="48" customFormat="1" ht="17.25" customHeight="1" x14ac:dyDescent="0.2">
      <c r="A661" s="168" t="s">
        <v>1035</v>
      </c>
      <c r="B661" s="183" t="s">
        <v>465</v>
      </c>
      <c r="C661" s="250"/>
      <c r="D661" s="189">
        <v>2022</v>
      </c>
      <c r="E661" s="188">
        <f>F661+G661+H661+I661+J661</f>
        <v>0.28520000000000001</v>
      </c>
      <c r="F661" s="188">
        <v>0</v>
      </c>
      <c r="G661" s="188">
        <v>0</v>
      </c>
      <c r="H661" s="188">
        <v>0</v>
      </c>
      <c r="I661" s="188">
        <v>0.28520000000000001</v>
      </c>
      <c r="J661" s="188">
        <v>0</v>
      </c>
      <c r="K661" s="261">
        <f t="shared" si="286"/>
        <v>0.28520000000000001</v>
      </c>
      <c r="L661" s="52"/>
      <c r="M661" s="794"/>
      <c r="N661" s="222"/>
      <c r="O661" s="72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6"/>
    </row>
    <row r="662" spans="1:57" s="48" customFormat="1" ht="18.75" customHeight="1" x14ac:dyDescent="0.2">
      <c r="A662" s="168" t="s">
        <v>1036</v>
      </c>
      <c r="B662" s="183" t="s">
        <v>466</v>
      </c>
      <c r="C662" s="250"/>
      <c r="D662" s="46" t="s">
        <v>198</v>
      </c>
      <c r="E662" s="47">
        <f>E663</f>
        <v>0.25340000000000001</v>
      </c>
      <c r="F662" s="47">
        <f t="shared" ref="F662:J662" si="289">F663</f>
        <v>0</v>
      </c>
      <c r="G662" s="47">
        <f t="shared" si="289"/>
        <v>0</v>
      </c>
      <c r="H662" s="47">
        <f t="shared" si="289"/>
        <v>0</v>
      </c>
      <c r="I662" s="47">
        <f t="shared" si="289"/>
        <v>0.25340000000000001</v>
      </c>
      <c r="J662" s="47">
        <f t="shared" si="289"/>
        <v>0</v>
      </c>
      <c r="K662" s="261">
        <f t="shared" si="286"/>
        <v>0.25340000000000001</v>
      </c>
      <c r="L662" s="52"/>
      <c r="M662" s="794"/>
      <c r="N662" s="222"/>
      <c r="O662" s="72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6"/>
    </row>
    <row r="663" spans="1:57" s="48" customFormat="1" ht="22.5" customHeight="1" x14ac:dyDescent="0.2">
      <c r="A663" s="168" t="s">
        <v>1037</v>
      </c>
      <c r="B663" s="183" t="s">
        <v>465</v>
      </c>
      <c r="C663" s="255"/>
      <c r="D663" s="189">
        <v>2019</v>
      </c>
      <c r="E663" s="188">
        <f>F663+G663+H663+I663+J663</f>
        <v>0.25340000000000001</v>
      </c>
      <c r="F663" s="188">
        <v>0</v>
      </c>
      <c r="G663" s="188">
        <v>0</v>
      </c>
      <c r="H663" s="188">
        <v>0</v>
      </c>
      <c r="I663" s="188">
        <v>0.25340000000000001</v>
      </c>
      <c r="J663" s="188">
        <v>0</v>
      </c>
      <c r="K663" s="261">
        <f t="shared" si="286"/>
        <v>0.25340000000000001</v>
      </c>
      <c r="L663" s="52"/>
      <c r="M663" s="795"/>
      <c r="N663" s="222"/>
      <c r="O663" s="726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6"/>
    </row>
    <row r="664" spans="1:57" s="48" customFormat="1" x14ac:dyDescent="0.2">
      <c r="A664" s="697" t="s">
        <v>1038</v>
      </c>
      <c r="B664" s="631" t="s">
        <v>594</v>
      </c>
      <c r="C664" s="631" t="s">
        <v>393</v>
      </c>
      <c r="D664" s="46" t="s">
        <v>198</v>
      </c>
      <c r="E664" s="47">
        <f>E665</f>
        <v>1.5</v>
      </c>
      <c r="F664" s="47">
        <f t="shared" ref="F664:J664" si="290">F665</f>
        <v>0</v>
      </c>
      <c r="G664" s="47">
        <f t="shared" si="290"/>
        <v>0</v>
      </c>
      <c r="H664" s="47">
        <f t="shared" si="290"/>
        <v>1.425</v>
      </c>
      <c r="I664" s="47">
        <f t="shared" si="290"/>
        <v>0</v>
      </c>
      <c r="J664" s="47">
        <f t="shared" si="290"/>
        <v>7.4999999999999997E-2</v>
      </c>
      <c r="K664" s="261">
        <f t="shared" si="286"/>
        <v>1.5</v>
      </c>
      <c r="L664" s="52"/>
      <c r="M664" s="50"/>
      <c r="N664" s="222"/>
      <c r="O664" s="631" t="s">
        <v>577</v>
      </c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6"/>
    </row>
    <row r="665" spans="1:57" s="48" customFormat="1" ht="46.5" customHeight="1" x14ac:dyDescent="0.2">
      <c r="A665" s="698"/>
      <c r="B665" s="648"/>
      <c r="C665" s="702"/>
      <c r="D665" s="189">
        <v>2023</v>
      </c>
      <c r="E665" s="188">
        <f>F665+G665+H665+I665+J665</f>
        <v>1.5</v>
      </c>
      <c r="F665" s="188">
        <v>0</v>
      </c>
      <c r="G665" s="188">
        <v>0</v>
      </c>
      <c r="H665" s="188">
        <v>1.425</v>
      </c>
      <c r="I665" s="188">
        <v>0</v>
      </c>
      <c r="J665" s="188">
        <v>7.4999999999999997E-2</v>
      </c>
      <c r="K665" s="261">
        <f t="shared" si="286"/>
        <v>1.5</v>
      </c>
      <c r="L665" s="52"/>
      <c r="M665" s="50"/>
      <c r="N665" s="222"/>
      <c r="O665" s="632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6"/>
    </row>
    <row r="666" spans="1:57" s="48" customFormat="1" ht="12.75" customHeight="1" x14ac:dyDescent="0.2">
      <c r="A666" s="697" t="s">
        <v>850</v>
      </c>
      <c r="B666" s="746" t="s">
        <v>467</v>
      </c>
      <c r="C666" s="746" t="s">
        <v>399</v>
      </c>
      <c r="D666" s="46" t="s">
        <v>198</v>
      </c>
      <c r="E666" s="47">
        <f>E667+E668+E669+E670+E671+E672</f>
        <v>546.70360000000005</v>
      </c>
      <c r="F666" s="47">
        <f t="shared" ref="F666:J666" si="291">F667+F668+F669+F670+F671+F672</f>
        <v>0</v>
      </c>
      <c r="G666" s="47">
        <f t="shared" si="291"/>
        <v>0</v>
      </c>
      <c r="H666" s="47">
        <f>H667+H668+H669+H670+H671+H672</f>
        <v>531.51620000000003</v>
      </c>
      <c r="I666" s="47">
        <f t="shared" si="291"/>
        <v>0</v>
      </c>
      <c r="J666" s="47">
        <f t="shared" si="291"/>
        <v>15.1874</v>
      </c>
      <c r="K666" s="261">
        <f t="shared" si="286"/>
        <v>546.70360000000005</v>
      </c>
      <c r="L666" s="52"/>
      <c r="M666" s="50"/>
      <c r="N666" s="51"/>
      <c r="O666" s="788" t="s">
        <v>226</v>
      </c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6"/>
    </row>
    <row r="667" spans="1:57" s="48" customFormat="1" x14ac:dyDescent="0.2">
      <c r="A667" s="698"/>
      <c r="B667" s="747"/>
      <c r="C667" s="747"/>
      <c r="D667" s="189">
        <v>2019</v>
      </c>
      <c r="E667" s="188">
        <f t="shared" ref="E667:E679" si="292">F667+G667+H667+I667+J667</f>
        <v>499.49900000000002</v>
      </c>
      <c r="F667" s="188">
        <v>0</v>
      </c>
      <c r="G667" s="188">
        <v>0</v>
      </c>
      <c r="H667" s="188">
        <v>484.50920000000002</v>
      </c>
      <c r="I667" s="188">
        <v>0</v>
      </c>
      <c r="J667" s="188">
        <v>14.989800000000001</v>
      </c>
      <c r="K667" s="261">
        <f t="shared" si="286"/>
        <v>499.49900000000002</v>
      </c>
      <c r="L667" s="52"/>
      <c r="M667" s="50"/>
      <c r="N667" s="51"/>
      <c r="O667" s="789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6"/>
    </row>
    <row r="668" spans="1:57" s="48" customFormat="1" x14ac:dyDescent="0.2">
      <c r="A668" s="698"/>
      <c r="B668" s="747"/>
      <c r="C668" s="747"/>
      <c r="D668" s="189">
        <v>2020</v>
      </c>
      <c r="E668" s="188">
        <f t="shared" si="292"/>
        <v>4.9539999999999997</v>
      </c>
      <c r="F668" s="188">
        <v>0</v>
      </c>
      <c r="G668" s="188">
        <v>0</v>
      </c>
      <c r="H668" s="188">
        <v>4.9539999999999997</v>
      </c>
      <c r="I668" s="188">
        <v>0</v>
      </c>
      <c r="J668" s="188">
        <v>0</v>
      </c>
      <c r="K668" s="261">
        <f t="shared" si="286"/>
        <v>4.9539999999999997</v>
      </c>
      <c r="L668" s="52"/>
      <c r="M668" s="50"/>
      <c r="N668" s="51"/>
      <c r="O668" s="789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6"/>
    </row>
    <row r="669" spans="1:57" s="48" customFormat="1" x14ac:dyDescent="0.2">
      <c r="A669" s="698"/>
      <c r="B669" s="747"/>
      <c r="C669" s="747"/>
      <c r="D669" s="189">
        <v>2021</v>
      </c>
      <c r="E669" s="188">
        <f t="shared" si="292"/>
        <v>0</v>
      </c>
      <c r="F669" s="188">
        <v>0</v>
      </c>
      <c r="G669" s="188">
        <v>0</v>
      </c>
      <c r="H669" s="188">
        <v>0</v>
      </c>
      <c r="I669" s="188">
        <v>0</v>
      </c>
      <c r="J669" s="188">
        <v>0</v>
      </c>
      <c r="K669" s="261">
        <f t="shared" si="286"/>
        <v>0</v>
      </c>
      <c r="L669" s="52"/>
      <c r="M669" s="50"/>
      <c r="N669" s="51"/>
      <c r="O669" s="789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6"/>
    </row>
    <row r="670" spans="1:57" s="48" customFormat="1" x14ac:dyDescent="0.2">
      <c r="A670" s="698"/>
      <c r="B670" s="747"/>
      <c r="C670" s="747"/>
      <c r="D670" s="189">
        <v>2022</v>
      </c>
      <c r="E670" s="188">
        <f t="shared" si="292"/>
        <v>0</v>
      </c>
      <c r="F670" s="188">
        <v>0</v>
      </c>
      <c r="G670" s="188">
        <v>0</v>
      </c>
      <c r="H670" s="188">
        <v>0</v>
      </c>
      <c r="I670" s="188">
        <v>0</v>
      </c>
      <c r="J670" s="188">
        <v>0</v>
      </c>
      <c r="K670" s="261">
        <f t="shared" si="286"/>
        <v>0</v>
      </c>
      <c r="L670" s="52"/>
      <c r="M670" s="50"/>
      <c r="N670" s="51"/>
      <c r="O670" s="789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6"/>
    </row>
    <row r="671" spans="1:57" s="48" customFormat="1" x14ac:dyDescent="0.2">
      <c r="A671" s="698"/>
      <c r="B671" s="747"/>
      <c r="C671" s="747"/>
      <c r="D671" s="189">
        <v>2023</v>
      </c>
      <c r="E671" s="188">
        <f t="shared" si="292"/>
        <v>0</v>
      </c>
      <c r="F671" s="188">
        <v>0</v>
      </c>
      <c r="G671" s="188">
        <v>0</v>
      </c>
      <c r="H671" s="188">
        <v>0</v>
      </c>
      <c r="I671" s="188">
        <v>0</v>
      </c>
      <c r="J671" s="188">
        <v>0</v>
      </c>
      <c r="K671" s="261">
        <f t="shared" si="286"/>
        <v>0</v>
      </c>
      <c r="L671" s="52"/>
      <c r="M671" s="50"/>
      <c r="N671" s="51"/>
      <c r="O671" s="789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6"/>
    </row>
    <row r="672" spans="1:57" s="48" customFormat="1" x14ac:dyDescent="0.2">
      <c r="A672" s="699"/>
      <c r="B672" s="748"/>
      <c r="C672" s="748"/>
      <c r="D672" s="189">
        <v>2024</v>
      </c>
      <c r="E672" s="188">
        <f t="shared" si="292"/>
        <v>42.250599999999999</v>
      </c>
      <c r="F672" s="188">
        <v>0</v>
      </c>
      <c r="G672" s="188">
        <v>0</v>
      </c>
      <c r="H672" s="188">
        <v>42.052999999999997</v>
      </c>
      <c r="I672" s="188">
        <v>0</v>
      </c>
      <c r="J672" s="188">
        <v>0.1976</v>
      </c>
      <c r="K672" s="261">
        <f t="shared" si="286"/>
        <v>42.250599999999999</v>
      </c>
      <c r="L672" s="52"/>
      <c r="M672" s="50"/>
      <c r="N672" s="51"/>
      <c r="O672" s="790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6"/>
    </row>
    <row r="673" spans="1:137" s="48" customFormat="1" x14ac:dyDescent="0.2">
      <c r="A673" s="697" t="s">
        <v>676</v>
      </c>
      <c r="B673" s="631" t="s">
        <v>468</v>
      </c>
      <c r="C673" s="746" t="s">
        <v>400</v>
      </c>
      <c r="D673" s="46" t="s">
        <v>198</v>
      </c>
      <c r="E673" s="47">
        <f>E674+E675+E676+E677+E678+E679</f>
        <v>17.276</v>
      </c>
      <c r="F673" s="47">
        <f t="shared" ref="F673:J673" si="293">F674+F675+F676+F677+F678+F679</f>
        <v>0</v>
      </c>
      <c r="G673" s="47">
        <f t="shared" si="293"/>
        <v>0</v>
      </c>
      <c r="H673" s="47">
        <f t="shared" si="293"/>
        <v>16.757999999999999</v>
      </c>
      <c r="I673" s="47">
        <f t="shared" si="293"/>
        <v>0</v>
      </c>
      <c r="J673" s="47">
        <f t="shared" si="293"/>
        <v>0.51800000000000002</v>
      </c>
      <c r="K673" s="261">
        <f t="shared" si="286"/>
        <v>17.276</v>
      </c>
      <c r="L673" s="52"/>
      <c r="M673" s="50"/>
      <c r="N673" s="51"/>
      <c r="O673" s="746" t="s">
        <v>228</v>
      </c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6"/>
    </row>
    <row r="674" spans="1:137" s="48" customFormat="1" x14ac:dyDescent="0.2">
      <c r="A674" s="671"/>
      <c r="B674" s="701"/>
      <c r="C674" s="701"/>
      <c r="D674" s="189">
        <v>2019</v>
      </c>
      <c r="E674" s="188">
        <f>F674+G674+H674+I674+J674</f>
        <v>17.276</v>
      </c>
      <c r="F674" s="188">
        <v>0</v>
      </c>
      <c r="G674" s="188">
        <v>0</v>
      </c>
      <c r="H674" s="188">
        <v>16.757999999999999</v>
      </c>
      <c r="I674" s="188">
        <v>0</v>
      </c>
      <c r="J674" s="188">
        <v>0.51800000000000002</v>
      </c>
      <c r="K674" s="261">
        <f t="shared" si="286"/>
        <v>17.276</v>
      </c>
      <c r="L674" s="52"/>
      <c r="M674" s="50"/>
      <c r="N674" s="51"/>
      <c r="O674" s="701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6"/>
    </row>
    <row r="675" spans="1:137" s="48" customFormat="1" x14ac:dyDescent="0.2">
      <c r="A675" s="671"/>
      <c r="B675" s="701"/>
      <c r="C675" s="701"/>
      <c r="D675" s="197">
        <v>2020</v>
      </c>
      <c r="E675" s="188">
        <f t="shared" si="292"/>
        <v>0</v>
      </c>
      <c r="F675" s="188">
        <v>0</v>
      </c>
      <c r="G675" s="188">
        <v>0</v>
      </c>
      <c r="H675" s="188">
        <v>0</v>
      </c>
      <c r="I675" s="188">
        <v>0</v>
      </c>
      <c r="J675" s="188">
        <v>0</v>
      </c>
      <c r="K675" s="261">
        <f t="shared" si="286"/>
        <v>0</v>
      </c>
      <c r="L675" s="52"/>
      <c r="M675" s="50"/>
      <c r="N675" s="51"/>
      <c r="O675" s="701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6"/>
    </row>
    <row r="676" spans="1:137" s="48" customFormat="1" x14ac:dyDescent="0.2">
      <c r="A676" s="671"/>
      <c r="B676" s="701"/>
      <c r="C676" s="701"/>
      <c r="D676" s="197">
        <v>2021</v>
      </c>
      <c r="E676" s="188">
        <f t="shared" si="292"/>
        <v>0</v>
      </c>
      <c r="F676" s="188">
        <v>0</v>
      </c>
      <c r="G676" s="188">
        <v>0</v>
      </c>
      <c r="H676" s="188">
        <v>0</v>
      </c>
      <c r="I676" s="188">
        <v>0</v>
      </c>
      <c r="J676" s="188">
        <v>0</v>
      </c>
      <c r="K676" s="261">
        <f t="shared" si="286"/>
        <v>0</v>
      </c>
      <c r="L676" s="52"/>
      <c r="M676" s="50"/>
      <c r="N676" s="51"/>
      <c r="O676" s="701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6"/>
    </row>
    <row r="677" spans="1:137" s="48" customFormat="1" x14ac:dyDescent="0.2">
      <c r="A677" s="671"/>
      <c r="B677" s="701"/>
      <c r="C677" s="701"/>
      <c r="D677" s="197">
        <v>2022</v>
      </c>
      <c r="E677" s="188">
        <f t="shared" si="292"/>
        <v>0</v>
      </c>
      <c r="F677" s="188">
        <v>0</v>
      </c>
      <c r="G677" s="188">
        <v>0</v>
      </c>
      <c r="H677" s="188">
        <v>0</v>
      </c>
      <c r="I677" s="188">
        <v>0</v>
      </c>
      <c r="J677" s="188">
        <v>0</v>
      </c>
      <c r="K677" s="261">
        <f t="shared" si="286"/>
        <v>0</v>
      </c>
      <c r="L677" s="52"/>
      <c r="M677" s="50"/>
      <c r="N677" s="51"/>
      <c r="O677" s="701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6"/>
    </row>
    <row r="678" spans="1:137" s="48" customFormat="1" x14ac:dyDescent="0.2">
      <c r="A678" s="671"/>
      <c r="B678" s="701"/>
      <c r="C678" s="701"/>
      <c r="D678" s="197">
        <v>2023</v>
      </c>
      <c r="E678" s="188">
        <f t="shared" si="292"/>
        <v>0</v>
      </c>
      <c r="F678" s="188">
        <v>0</v>
      </c>
      <c r="G678" s="188">
        <v>0</v>
      </c>
      <c r="H678" s="188">
        <v>0</v>
      </c>
      <c r="I678" s="188">
        <v>0</v>
      </c>
      <c r="J678" s="188">
        <v>0</v>
      </c>
      <c r="K678" s="261">
        <f t="shared" si="286"/>
        <v>0</v>
      </c>
      <c r="L678" s="52"/>
      <c r="M678" s="50"/>
      <c r="N678" s="51"/>
      <c r="O678" s="701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6"/>
    </row>
    <row r="679" spans="1:137" s="48" customFormat="1" x14ac:dyDescent="0.2">
      <c r="A679" s="672"/>
      <c r="B679" s="702"/>
      <c r="C679" s="702"/>
      <c r="D679" s="197">
        <v>2024</v>
      </c>
      <c r="E679" s="188">
        <f t="shared" si="292"/>
        <v>0</v>
      </c>
      <c r="F679" s="188">
        <v>0</v>
      </c>
      <c r="G679" s="188">
        <v>0</v>
      </c>
      <c r="H679" s="188">
        <v>0</v>
      </c>
      <c r="I679" s="188">
        <v>0</v>
      </c>
      <c r="J679" s="188">
        <v>0</v>
      </c>
      <c r="K679" s="261">
        <f t="shared" si="286"/>
        <v>0</v>
      </c>
      <c r="L679" s="52"/>
      <c r="M679" s="50"/>
      <c r="N679" s="51"/>
      <c r="O679" s="702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6"/>
    </row>
    <row r="680" spans="1:137" s="48" customFormat="1" x14ac:dyDescent="0.2">
      <c r="A680" s="141"/>
      <c r="B680" s="638" t="s">
        <v>997</v>
      </c>
      <c r="C680" s="638" t="s">
        <v>995</v>
      </c>
      <c r="D680" s="236" t="s">
        <v>198</v>
      </c>
      <c r="E680" s="47">
        <f>E681</f>
        <v>2.8313999999999999</v>
      </c>
      <c r="F680" s="47">
        <f t="shared" ref="F680:J680" si="294">F681</f>
        <v>0</v>
      </c>
      <c r="G680" s="47">
        <f t="shared" si="294"/>
        <v>0</v>
      </c>
      <c r="H680" s="47">
        <f t="shared" si="294"/>
        <v>2.742</v>
      </c>
      <c r="I680" s="47">
        <f t="shared" si="294"/>
        <v>0</v>
      </c>
      <c r="J680" s="47">
        <f t="shared" si="294"/>
        <v>8.9399999999999993E-2</v>
      </c>
      <c r="K680" s="261">
        <f t="shared" si="286"/>
        <v>2.8313999999999999</v>
      </c>
      <c r="L680" s="52"/>
      <c r="M680" s="50"/>
      <c r="N680" s="51"/>
      <c r="O680" s="250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6"/>
    </row>
    <row r="681" spans="1:137" s="48" customFormat="1" ht="18.75" customHeight="1" x14ac:dyDescent="0.2">
      <c r="A681" s="141"/>
      <c r="B681" s="640"/>
      <c r="C681" s="639"/>
      <c r="D681" s="197">
        <v>2019</v>
      </c>
      <c r="E681" s="188">
        <f>F681+G681+H681+I681+J681</f>
        <v>2.8313999999999999</v>
      </c>
      <c r="F681" s="188">
        <v>0</v>
      </c>
      <c r="G681" s="188">
        <v>0</v>
      </c>
      <c r="H681" s="188">
        <v>2.742</v>
      </c>
      <c r="I681" s="188">
        <v>0</v>
      </c>
      <c r="J681" s="188">
        <v>8.9399999999999993E-2</v>
      </c>
      <c r="K681" s="261">
        <f t="shared" si="286"/>
        <v>2.8313999999999999</v>
      </c>
      <c r="L681" s="52"/>
      <c r="M681" s="50"/>
      <c r="N681" s="51"/>
      <c r="O681" s="250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6"/>
    </row>
    <row r="682" spans="1:137" s="48" customFormat="1" x14ac:dyDescent="0.2">
      <c r="A682" s="243" t="s">
        <v>1039</v>
      </c>
      <c r="B682" s="638" t="s">
        <v>996</v>
      </c>
      <c r="C682" s="639"/>
      <c r="D682" s="236" t="s">
        <v>198</v>
      </c>
      <c r="E682" s="188">
        <f>E683</f>
        <v>3.5242999999999998</v>
      </c>
      <c r="F682" s="188">
        <f t="shared" ref="F682:J682" si="295">F683</f>
        <v>0</v>
      </c>
      <c r="G682" s="188">
        <f t="shared" si="295"/>
        <v>0</v>
      </c>
      <c r="H682" s="188">
        <f t="shared" si="295"/>
        <v>3.4129999999999998</v>
      </c>
      <c r="I682" s="188">
        <f t="shared" si="295"/>
        <v>0</v>
      </c>
      <c r="J682" s="188">
        <f t="shared" si="295"/>
        <v>0.1113</v>
      </c>
      <c r="K682" s="261">
        <f t="shared" si="286"/>
        <v>3.5242999999999998</v>
      </c>
      <c r="L682" s="52"/>
      <c r="M682" s="50"/>
      <c r="N682" s="51"/>
      <c r="O682" s="250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6"/>
    </row>
    <row r="683" spans="1:137" s="48" customFormat="1" ht="24" customHeight="1" x14ac:dyDescent="0.2">
      <c r="A683" s="141"/>
      <c r="B683" s="640"/>
      <c r="C683" s="639"/>
      <c r="D683" s="197">
        <v>2019</v>
      </c>
      <c r="E683" s="188">
        <f t="shared" ref="E683" si="296">F683+G683+H683+I683+J683</f>
        <v>3.5242999999999998</v>
      </c>
      <c r="F683" s="188">
        <v>0</v>
      </c>
      <c r="G683" s="188">
        <v>0</v>
      </c>
      <c r="H683" s="188">
        <v>3.4129999999999998</v>
      </c>
      <c r="I683" s="188">
        <v>0</v>
      </c>
      <c r="J683" s="188">
        <v>0.1113</v>
      </c>
      <c r="K683" s="261">
        <f t="shared" si="286"/>
        <v>3.5242999999999998</v>
      </c>
      <c r="L683" s="52"/>
      <c r="M683" s="50"/>
      <c r="N683" s="51"/>
      <c r="O683" s="250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6"/>
    </row>
    <row r="684" spans="1:137" s="48" customFormat="1" x14ac:dyDescent="0.2">
      <c r="A684" s="697" t="s">
        <v>677</v>
      </c>
      <c r="B684" s="631" t="s">
        <v>804</v>
      </c>
      <c r="C684" s="678" t="s">
        <v>805</v>
      </c>
      <c r="D684" s="236" t="s">
        <v>198</v>
      </c>
      <c r="E684" s="47">
        <f>E685+E686</f>
        <v>5.5</v>
      </c>
      <c r="F684" s="47">
        <f t="shared" ref="F684:J684" si="297">F685+F686</f>
        <v>0</v>
      </c>
      <c r="G684" s="47">
        <f t="shared" si="297"/>
        <v>0</v>
      </c>
      <c r="H684" s="47">
        <f t="shared" si="297"/>
        <v>4.75</v>
      </c>
      <c r="I684" s="47">
        <f t="shared" si="297"/>
        <v>0</v>
      </c>
      <c r="J684" s="47">
        <f t="shared" si="297"/>
        <v>0.75</v>
      </c>
      <c r="K684" s="261">
        <f t="shared" si="286"/>
        <v>5.5</v>
      </c>
      <c r="L684" s="52"/>
      <c r="M684" s="50"/>
      <c r="N684" s="51"/>
      <c r="O684" s="631" t="s">
        <v>232</v>
      </c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6"/>
      <c r="EG684" s="48" t="s">
        <v>894</v>
      </c>
    </row>
    <row r="685" spans="1:137" s="48" customFormat="1" ht="17.25" customHeight="1" x14ac:dyDescent="0.2">
      <c r="A685" s="698"/>
      <c r="B685" s="648"/>
      <c r="C685" s="678"/>
      <c r="D685" s="197">
        <v>2020</v>
      </c>
      <c r="E685" s="188">
        <f>F685+G685+H685+I685+J685</f>
        <v>0.5</v>
      </c>
      <c r="F685" s="188">
        <v>0</v>
      </c>
      <c r="G685" s="188">
        <v>0</v>
      </c>
      <c r="H685" s="188">
        <v>0</v>
      </c>
      <c r="I685" s="188">
        <v>0</v>
      </c>
      <c r="J685" s="188">
        <v>0.5</v>
      </c>
      <c r="K685" s="261">
        <f t="shared" si="286"/>
        <v>0.5</v>
      </c>
      <c r="L685" s="52"/>
      <c r="M685" s="50"/>
      <c r="N685" s="51"/>
      <c r="O685" s="648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6"/>
    </row>
    <row r="686" spans="1:137" s="48" customFormat="1" ht="30.75" customHeight="1" x14ac:dyDescent="0.2">
      <c r="A686" s="698"/>
      <c r="B686" s="648"/>
      <c r="C686" s="678"/>
      <c r="D686" s="197">
        <v>2021</v>
      </c>
      <c r="E686" s="188">
        <f>F686+G686+H686+I686+J686</f>
        <v>5</v>
      </c>
      <c r="F686" s="188">
        <v>0</v>
      </c>
      <c r="G686" s="188">
        <v>0</v>
      </c>
      <c r="H686" s="188">
        <v>4.75</v>
      </c>
      <c r="I686" s="188">
        <v>0</v>
      </c>
      <c r="J686" s="188">
        <v>0.25</v>
      </c>
      <c r="K686" s="261">
        <f t="shared" si="286"/>
        <v>5</v>
      </c>
      <c r="L686" s="52"/>
      <c r="M686" s="50"/>
      <c r="N686" s="51"/>
      <c r="O686" s="648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6"/>
    </row>
    <row r="687" spans="1:137" s="48" customFormat="1" ht="17.25" customHeight="1" x14ac:dyDescent="0.2">
      <c r="A687" s="697" t="s">
        <v>678</v>
      </c>
      <c r="B687" s="631" t="s">
        <v>806</v>
      </c>
      <c r="C687" s="631" t="s">
        <v>805</v>
      </c>
      <c r="D687" s="236" t="s">
        <v>198</v>
      </c>
      <c r="E687" s="47">
        <f>E688+E689+E690+E691</f>
        <v>3.452</v>
      </c>
      <c r="F687" s="47">
        <f t="shared" ref="F687:J687" si="298">F688+F689+F690+F691</f>
        <v>0</v>
      </c>
      <c r="G687" s="47">
        <f t="shared" si="298"/>
        <v>0</v>
      </c>
      <c r="H687" s="47">
        <f t="shared" si="298"/>
        <v>2.375</v>
      </c>
      <c r="I687" s="47">
        <f t="shared" si="298"/>
        <v>0</v>
      </c>
      <c r="J687" s="47">
        <f t="shared" si="298"/>
        <v>1.077</v>
      </c>
      <c r="K687" s="261">
        <f t="shared" si="286"/>
        <v>3.452</v>
      </c>
      <c r="L687" s="52"/>
      <c r="M687" s="50"/>
      <c r="N687" s="51"/>
      <c r="O687" s="648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6"/>
    </row>
    <row r="688" spans="1:137" s="48" customFormat="1" ht="17.25" customHeight="1" x14ac:dyDescent="0.2">
      <c r="A688" s="698"/>
      <c r="B688" s="648"/>
      <c r="C688" s="648"/>
      <c r="D688" s="197">
        <v>2019</v>
      </c>
      <c r="E688" s="188">
        <f>F688+G688+H688+I688+J688</f>
        <v>4.8000000000000001E-2</v>
      </c>
      <c r="F688" s="188">
        <v>0</v>
      </c>
      <c r="G688" s="188">
        <v>0</v>
      </c>
      <c r="H688" s="188">
        <v>0</v>
      </c>
      <c r="I688" s="188">
        <v>0</v>
      </c>
      <c r="J688" s="188">
        <v>4.8000000000000001E-2</v>
      </c>
      <c r="K688" s="261">
        <f t="shared" si="286"/>
        <v>4.8000000000000001E-2</v>
      </c>
      <c r="L688" s="52"/>
      <c r="M688" s="50"/>
      <c r="N688" s="51"/>
      <c r="O688" s="648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6"/>
    </row>
    <row r="689" spans="1:57" s="48" customFormat="1" ht="17.25" customHeight="1" x14ac:dyDescent="0.2">
      <c r="A689" s="698"/>
      <c r="B689" s="648"/>
      <c r="C689" s="648"/>
      <c r="D689" s="197">
        <v>2020</v>
      </c>
      <c r="E689" s="188">
        <f>F689+G689+H689+I689+J689</f>
        <v>0.45200000000000001</v>
      </c>
      <c r="F689" s="188">
        <v>0</v>
      </c>
      <c r="G689" s="188">
        <v>0</v>
      </c>
      <c r="H689" s="188">
        <v>0</v>
      </c>
      <c r="I689" s="188">
        <v>0</v>
      </c>
      <c r="J689" s="188">
        <v>0.45200000000000001</v>
      </c>
      <c r="K689" s="261">
        <f t="shared" si="286"/>
        <v>0.45200000000000001</v>
      </c>
      <c r="L689" s="52"/>
      <c r="M689" s="50"/>
      <c r="N689" s="51"/>
      <c r="O689" s="648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6"/>
    </row>
    <row r="690" spans="1:57" s="48" customFormat="1" ht="17.25" customHeight="1" x14ac:dyDescent="0.2">
      <c r="A690" s="698"/>
      <c r="B690" s="648"/>
      <c r="C690" s="648"/>
      <c r="D690" s="197">
        <v>2021</v>
      </c>
      <c r="E690" s="188">
        <f>F690+G690+H690+I690+J690</f>
        <v>0.45200000000000001</v>
      </c>
      <c r="F690" s="188">
        <v>0</v>
      </c>
      <c r="G690" s="188">
        <v>0</v>
      </c>
      <c r="H690" s="188">
        <v>0</v>
      </c>
      <c r="I690" s="188">
        <v>0</v>
      </c>
      <c r="J690" s="188">
        <v>0.45200000000000001</v>
      </c>
      <c r="K690" s="261">
        <f t="shared" si="286"/>
        <v>0.45200000000000001</v>
      </c>
      <c r="L690" s="52"/>
      <c r="M690" s="50"/>
      <c r="N690" s="51"/>
      <c r="O690" s="648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6"/>
    </row>
    <row r="691" spans="1:57" s="48" customFormat="1" ht="17.25" customHeight="1" x14ac:dyDescent="0.2">
      <c r="A691" s="699"/>
      <c r="B691" s="632"/>
      <c r="C691" s="632"/>
      <c r="D691" s="197">
        <v>2022</v>
      </c>
      <c r="E691" s="188">
        <f>F691+G691+H691+I691+J691</f>
        <v>2.5</v>
      </c>
      <c r="F691" s="188">
        <v>0</v>
      </c>
      <c r="G691" s="188">
        <v>0</v>
      </c>
      <c r="H691" s="188">
        <v>2.375</v>
      </c>
      <c r="I691" s="188">
        <v>0</v>
      </c>
      <c r="J691" s="188">
        <v>0.125</v>
      </c>
      <c r="K691" s="261">
        <f t="shared" si="286"/>
        <v>2.5</v>
      </c>
      <c r="L691" s="52"/>
      <c r="M691" s="50"/>
      <c r="N691" s="51"/>
      <c r="O691" s="648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6"/>
    </row>
    <row r="692" spans="1:57" s="48" customFormat="1" ht="12.75" customHeight="1" x14ac:dyDescent="0.2">
      <c r="A692" s="731" t="s">
        <v>679</v>
      </c>
      <c r="B692" s="649" t="s">
        <v>608</v>
      </c>
      <c r="C692" s="758"/>
      <c r="D692" s="46" t="s">
        <v>198</v>
      </c>
      <c r="E692" s="47">
        <f>E693+E694+E696+E695</f>
        <v>3781.3798999999999</v>
      </c>
      <c r="F692" s="47">
        <f t="shared" ref="F692:J692" si="299">F693+F694+F696+F695</f>
        <v>14.9191</v>
      </c>
      <c r="G692" s="47">
        <f t="shared" si="299"/>
        <v>0</v>
      </c>
      <c r="H692" s="47">
        <f t="shared" si="299"/>
        <v>3762.7631999999994</v>
      </c>
      <c r="I692" s="47">
        <f t="shared" si="299"/>
        <v>0</v>
      </c>
      <c r="J692" s="47">
        <f t="shared" si="299"/>
        <v>3.6976</v>
      </c>
      <c r="K692" s="261">
        <f t="shared" si="286"/>
        <v>3781.3798999999995</v>
      </c>
      <c r="L692" s="52"/>
      <c r="M692" s="50"/>
      <c r="N692" s="51"/>
      <c r="O692" s="49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6"/>
    </row>
    <row r="693" spans="1:57" s="48" customFormat="1" ht="12.75" customHeight="1" x14ac:dyDescent="0.2">
      <c r="A693" s="732"/>
      <c r="B693" s="650"/>
      <c r="C693" s="701"/>
      <c r="D693" s="46">
        <v>2019</v>
      </c>
      <c r="E693" s="47">
        <f t="shared" ref="E693:J693" si="300">E698+E706+E709</f>
        <v>3589.7775999999999</v>
      </c>
      <c r="F693" s="47">
        <f t="shared" si="300"/>
        <v>0</v>
      </c>
      <c r="G693" s="47">
        <f t="shared" si="300"/>
        <v>0</v>
      </c>
      <c r="H693" s="47">
        <f t="shared" si="300"/>
        <v>3586.1655999999998</v>
      </c>
      <c r="I693" s="47">
        <f t="shared" si="300"/>
        <v>0</v>
      </c>
      <c r="J693" s="47">
        <f t="shared" si="300"/>
        <v>3.6120000000000001</v>
      </c>
      <c r="K693" s="261">
        <f t="shared" si="286"/>
        <v>3589.7775999999999</v>
      </c>
      <c r="L693" s="52"/>
      <c r="M693" s="50"/>
      <c r="N693" s="51"/>
      <c r="O693" s="49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6"/>
    </row>
    <row r="694" spans="1:57" s="48" customFormat="1" ht="12.75" customHeight="1" x14ac:dyDescent="0.2">
      <c r="A694" s="732"/>
      <c r="B694" s="650"/>
      <c r="C694" s="701"/>
      <c r="D694" s="46">
        <v>2020</v>
      </c>
      <c r="E694" s="47">
        <f t="shared" ref="E694:J694" si="301">E699+E71+E7253+E707</f>
        <v>22.34</v>
      </c>
      <c r="F694" s="47">
        <f t="shared" si="301"/>
        <v>3.8628</v>
      </c>
      <c r="G694" s="47">
        <f t="shared" si="301"/>
        <v>0</v>
      </c>
      <c r="H694" s="47">
        <f t="shared" si="301"/>
        <v>18.460599999999999</v>
      </c>
      <c r="I694" s="47">
        <f t="shared" si="301"/>
        <v>0</v>
      </c>
      <c r="J694" s="47">
        <f t="shared" si="301"/>
        <v>1.66E-2</v>
      </c>
      <c r="K694" s="261">
        <f t="shared" si="286"/>
        <v>22.34</v>
      </c>
      <c r="L694" s="52"/>
      <c r="M694" s="50"/>
      <c r="N694" s="51"/>
      <c r="O694" s="49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6"/>
    </row>
    <row r="695" spans="1:57" s="48" customFormat="1" ht="12.75" customHeight="1" x14ac:dyDescent="0.2">
      <c r="A695" s="732"/>
      <c r="B695" s="650"/>
      <c r="C695" s="701"/>
      <c r="D695" s="46">
        <v>2021</v>
      </c>
      <c r="E695" s="47">
        <f>E700+E703+E712</f>
        <v>130.78029999999998</v>
      </c>
      <c r="F695" s="47">
        <f t="shared" ref="F695:J695" si="302">F700+F703+F712</f>
        <v>11.0563</v>
      </c>
      <c r="G695" s="47">
        <f t="shared" si="302"/>
        <v>0</v>
      </c>
      <c r="H695" s="47">
        <f t="shared" si="302"/>
        <v>119.691</v>
      </c>
      <c r="I695" s="47">
        <f t="shared" si="302"/>
        <v>0</v>
      </c>
      <c r="J695" s="47">
        <f t="shared" si="302"/>
        <v>3.3000000000000002E-2</v>
      </c>
      <c r="K695" s="261">
        <f t="shared" si="286"/>
        <v>130.78029999999998</v>
      </c>
      <c r="L695" s="52"/>
      <c r="M695" s="50"/>
      <c r="N695" s="51"/>
      <c r="O695" s="49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6"/>
    </row>
    <row r="696" spans="1:57" s="48" customFormat="1" ht="15.75" customHeight="1" x14ac:dyDescent="0.2">
      <c r="A696" s="733"/>
      <c r="B696" s="651"/>
      <c r="C696" s="702"/>
      <c r="D696" s="46">
        <v>2022</v>
      </c>
      <c r="E696" s="47">
        <f>E704+E713</f>
        <v>38.481999999999999</v>
      </c>
      <c r="F696" s="47">
        <f t="shared" ref="F696:J696" si="303">F704+F713</f>
        <v>0</v>
      </c>
      <c r="G696" s="47">
        <f t="shared" si="303"/>
        <v>0</v>
      </c>
      <c r="H696" s="47">
        <f t="shared" si="303"/>
        <v>38.445999999999998</v>
      </c>
      <c r="I696" s="47">
        <f t="shared" si="303"/>
        <v>0</v>
      </c>
      <c r="J696" s="47">
        <f t="shared" si="303"/>
        <v>3.6000000000000004E-2</v>
      </c>
      <c r="K696" s="261">
        <f t="shared" si="286"/>
        <v>38.481999999999999</v>
      </c>
      <c r="L696" s="52"/>
      <c r="M696" s="50"/>
      <c r="N696" s="51"/>
      <c r="O696" s="62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6"/>
    </row>
    <row r="697" spans="1:57" s="48" customFormat="1" ht="22.5" customHeight="1" x14ac:dyDescent="0.2">
      <c r="A697" s="697" t="s">
        <v>959</v>
      </c>
      <c r="B697" s="631" t="s">
        <v>217</v>
      </c>
      <c r="C697" s="705" t="s">
        <v>401</v>
      </c>
      <c r="D697" s="46" t="s">
        <v>198</v>
      </c>
      <c r="E697" s="47">
        <f>E698+E699+E700</f>
        <v>119.34049999999999</v>
      </c>
      <c r="F697" s="47">
        <f t="shared" ref="F697:J697" si="304">F698+F699+F700</f>
        <v>13.2447</v>
      </c>
      <c r="G697" s="47">
        <f t="shared" si="304"/>
        <v>0</v>
      </c>
      <c r="H697" s="47">
        <f t="shared" si="304"/>
        <v>106.0958</v>
      </c>
      <c r="I697" s="47">
        <f t="shared" si="304"/>
        <v>0</v>
      </c>
      <c r="J697" s="47">
        <f t="shared" si="304"/>
        <v>0</v>
      </c>
      <c r="K697" s="261">
        <f t="shared" si="286"/>
        <v>119.34049999999999</v>
      </c>
      <c r="L697" s="52" t="s">
        <v>477</v>
      </c>
      <c r="M697" s="50"/>
      <c r="N697" s="51">
        <v>0</v>
      </c>
      <c r="O697" s="746" t="s">
        <v>600</v>
      </c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6"/>
    </row>
    <row r="698" spans="1:57" s="48" customFormat="1" ht="15" customHeight="1" x14ac:dyDescent="0.2">
      <c r="A698" s="698"/>
      <c r="B698" s="701"/>
      <c r="C698" s="706"/>
      <c r="D698" s="189">
        <v>2019</v>
      </c>
      <c r="E698" s="385">
        <v>0</v>
      </c>
      <c r="F698" s="188">
        <v>0</v>
      </c>
      <c r="G698" s="188">
        <v>0</v>
      </c>
      <c r="H698" s="188">
        <v>0</v>
      </c>
      <c r="I698" s="188">
        <v>0</v>
      </c>
      <c r="J698" s="188">
        <v>0</v>
      </c>
      <c r="K698" s="261">
        <f t="shared" si="286"/>
        <v>0</v>
      </c>
      <c r="L698" s="53" t="s">
        <v>447</v>
      </c>
      <c r="M698" s="50"/>
      <c r="N698" s="56">
        <v>0</v>
      </c>
      <c r="O698" s="747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6"/>
    </row>
    <row r="699" spans="1:57" s="48" customFormat="1" x14ac:dyDescent="0.2">
      <c r="A699" s="698"/>
      <c r="B699" s="701"/>
      <c r="C699" s="706"/>
      <c r="D699" s="189">
        <v>2020</v>
      </c>
      <c r="E699" s="385">
        <f>F699+H699</f>
        <v>19.005200000000002</v>
      </c>
      <c r="F699" s="188">
        <v>2.1884000000000001</v>
      </c>
      <c r="G699" s="188">
        <v>0</v>
      </c>
      <c r="H699" s="188">
        <v>16.816800000000001</v>
      </c>
      <c r="I699" s="188">
        <v>0</v>
      </c>
      <c r="J699" s="188">
        <v>0</v>
      </c>
      <c r="K699" s="261">
        <f t="shared" si="286"/>
        <v>19.005200000000002</v>
      </c>
      <c r="L699" s="53" t="s">
        <v>447</v>
      </c>
      <c r="M699" s="50"/>
      <c r="N699" s="56"/>
      <c r="O699" s="747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6"/>
    </row>
    <row r="700" spans="1:57" s="48" customFormat="1" x14ac:dyDescent="0.2">
      <c r="A700" s="699"/>
      <c r="B700" s="702"/>
      <c r="C700" s="730"/>
      <c r="D700" s="189">
        <v>2021</v>
      </c>
      <c r="E700" s="385">
        <f>F700+H700</f>
        <v>100.33529999999999</v>
      </c>
      <c r="F700" s="188">
        <v>11.0563</v>
      </c>
      <c r="G700" s="188">
        <v>0</v>
      </c>
      <c r="H700" s="188">
        <v>89.278999999999996</v>
      </c>
      <c r="I700" s="188">
        <v>0</v>
      </c>
      <c r="J700" s="188">
        <v>0</v>
      </c>
      <c r="K700" s="261">
        <f t="shared" si="286"/>
        <v>100.33529999999999</v>
      </c>
      <c r="L700" s="53" t="s">
        <v>448</v>
      </c>
      <c r="M700" s="50"/>
      <c r="N700" s="56">
        <v>0</v>
      </c>
      <c r="O700" s="748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6"/>
    </row>
    <row r="701" spans="1:57" s="48" customFormat="1" x14ac:dyDescent="0.2">
      <c r="A701" s="665" t="s">
        <v>680</v>
      </c>
      <c r="B701" s="785" t="s">
        <v>960</v>
      </c>
      <c r="C701" s="678" t="s">
        <v>961</v>
      </c>
      <c r="D701" s="46" t="s">
        <v>198</v>
      </c>
      <c r="E701" s="188">
        <f>E702+E703+E704</f>
        <v>70.13</v>
      </c>
      <c r="F701" s="188">
        <f t="shared" ref="F701:J701" si="305">F702+F703+F704</f>
        <v>0</v>
      </c>
      <c r="G701" s="188">
        <f t="shared" si="305"/>
        <v>0</v>
      </c>
      <c r="H701" s="188">
        <f t="shared" si="305"/>
        <v>70.06</v>
      </c>
      <c r="I701" s="188">
        <f t="shared" si="305"/>
        <v>0</v>
      </c>
      <c r="J701" s="188">
        <f t="shared" si="305"/>
        <v>7.0000000000000007E-2</v>
      </c>
      <c r="K701" s="261">
        <f t="shared" si="286"/>
        <v>70.13</v>
      </c>
      <c r="L701" s="53"/>
      <c r="M701" s="50"/>
      <c r="N701" s="56"/>
      <c r="O701" s="788" t="s">
        <v>233</v>
      </c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6"/>
    </row>
    <row r="702" spans="1:57" s="48" customFormat="1" x14ac:dyDescent="0.2">
      <c r="A702" s="665"/>
      <c r="B702" s="786"/>
      <c r="C702" s="678"/>
      <c r="D702" s="189">
        <v>2020</v>
      </c>
      <c r="E702" s="188">
        <f>F702+G702+H702+I702+J702</f>
        <v>30.61</v>
      </c>
      <c r="F702" s="188">
        <v>0</v>
      </c>
      <c r="G702" s="188">
        <v>0</v>
      </c>
      <c r="H702" s="188">
        <v>30.58</v>
      </c>
      <c r="I702" s="188">
        <v>0</v>
      </c>
      <c r="J702" s="188">
        <v>0.03</v>
      </c>
      <c r="K702" s="261">
        <f t="shared" si="286"/>
        <v>30.61</v>
      </c>
      <c r="L702" s="53"/>
      <c r="M702" s="50"/>
      <c r="N702" s="56"/>
      <c r="O702" s="789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6"/>
    </row>
    <row r="703" spans="1:57" s="48" customFormat="1" x14ac:dyDescent="0.2">
      <c r="A703" s="665"/>
      <c r="B703" s="786"/>
      <c r="C703" s="678"/>
      <c r="D703" s="189">
        <v>2021</v>
      </c>
      <c r="E703" s="188">
        <f t="shared" ref="E703:E707" si="306">F703+G703+H703+I703+J703</f>
        <v>17.02</v>
      </c>
      <c r="F703" s="188">
        <v>0</v>
      </c>
      <c r="G703" s="188">
        <v>0</v>
      </c>
      <c r="H703" s="188">
        <v>17</v>
      </c>
      <c r="I703" s="188">
        <v>0</v>
      </c>
      <c r="J703" s="188">
        <v>0.02</v>
      </c>
      <c r="K703" s="261">
        <f t="shared" si="286"/>
        <v>17.02</v>
      </c>
      <c r="L703" s="53"/>
      <c r="M703" s="50"/>
      <c r="N703" s="56"/>
      <c r="O703" s="789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6"/>
    </row>
    <row r="704" spans="1:57" s="48" customFormat="1" x14ac:dyDescent="0.2">
      <c r="A704" s="665"/>
      <c r="B704" s="787"/>
      <c r="C704" s="678"/>
      <c r="D704" s="189">
        <v>2022</v>
      </c>
      <c r="E704" s="188">
        <f t="shared" si="306"/>
        <v>22.5</v>
      </c>
      <c r="F704" s="188">
        <v>0</v>
      </c>
      <c r="G704" s="188">
        <v>0</v>
      </c>
      <c r="H704" s="188">
        <v>22.48</v>
      </c>
      <c r="I704" s="188">
        <v>0</v>
      </c>
      <c r="J704" s="188">
        <v>0.02</v>
      </c>
      <c r="K704" s="261">
        <f t="shared" si="286"/>
        <v>22.5</v>
      </c>
      <c r="L704" s="53"/>
      <c r="M704" s="50"/>
      <c r="N704" s="56"/>
      <c r="O704" s="790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6"/>
    </row>
    <row r="705" spans="1:57" s="48" customFormat="1" x14ac:dyDescent="0.2">
      <c r="A705" s="665" t="s">
        <v>1044</v>
      </c>
      <c r="B705" s="681" t="s">
        <v>1045</v>
      </c>
      <c r="C705" s="171"/>
      <c r="D705" s="46" t="s">
        <v>198</v>
      </c>
      <c r="E705" s="188">
        <f>E706+E707</f>
        <v>4.1509999999999998</v>
      </c>
      <c r="F705" s="188">
        <f t="shared" ref="F705:J705" si="307">F706+F707</f>
        <v>0</v>
      </c>
      <c r="G705" s="188">
        <f t="shared" si="307"/>
        <v>0</v>
      </c>
      <c r="H705" s="188">
        <f t="shared" si="307"/>
        <v>4.1093999999999999</v>
      </c>
      <c r="I705" s="188">
        <f t="shared" si="307"/>
        <v>0</v>
      </c>
      <c r="J705" s="188">
        <f t="shared" si="307"/>
        <v>4.1599999999999998E-2</v>
      </c>
      <c r="K705" s="261">
        <f t="shared" si="286"/>
        <v>4.1509999999999998</v>
      </c>
      <c r="L705" s="53"/>
      <c r="M705" s="50"/>
      <c r="N705" s="56"/>
      <c r="O705" s="695" t="s">
        <v>1048</v>
      </c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6"/>
    </row>
    <row r="706" spans="1:57" s="48" customFormat="1" ht="12.75" customHeight="1" x14ac:dyDescent="0.2">
      <c r="A706" s="665"/>
      <c r="B706" s="681"/>
      <c r="C706" s="171"/>
      <c r="D706" s="189">
        <v>2019</v>
      </c>
      <c r="E706" s="188">
        <f t="shared" si="306"/>
        <v>2.4905999999999997</v>
      </c>
      <c r="F706" s="188">
        <v>0</v>
      </c>
      <c r="G706" s="188">
        <v>0</v>
      </c>
      <c r="H706" s="188">
        <v>2.4655999999999998</v>
      </c>
      <c r="I706" s="188">
        <v>0</v>
      </c>
      <c r="J706" s="188">
        <v>2.5000000000000001E-2</v>
      </c>
      <c r="K706" s="261">
        <f t="shared" si="286"/>
        <v>2.4905999999999997</v>
      </c>
      <c r="L706" s="53"/>
      <c r="M706" s="50"/>
      <c r="N706" s="56"/>
      <c r="O706" s="700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6"/>
    </row>
    <row r="707" spans="1:57" s="48" customFormat="1" x14ac:dyDescent="0.2">
      <c r="A707" s="665"/>
      <c r="B707" s="681"/>
      <c r="C707" s="171"/>
      <c r="D707" s="189">
        <v>2020</v>
      </c>
      <c r="E707" s="188">
        <f t="shared" si="306"/>
        <v>1.6603999999999999</v>
      </c>
      <c r="F707" s="188">
        <v>0</v>
      </c>
      <c r="G707" s="188">
        <v>0</v>
      </c>
      <c r="H707" s="188">
        <v>1.6437999999999999</v>
      </c>
      <c r="I707" s="188">
        <v>0</v>
      </c>
      <c r="J707" s="60">
        <v>1.66E-2</v>
      </c>
      <c r="K707" s="261">
        <f t="shared" si="286"/>
        <v>1.6603999999999999</v>
      </c>
      <c r="L707" s="53"/>
      <c r="M707" s="50"/>
      <c r="N707" s="56"/>
      <c r="O707" s="700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6"/>
    </row>
    <row r="708" spans="1:57" s="48" customFormat="1" ht="18.75" customHeight="1" x14ac:dyDescent="0.2">
      <c r="A708" s="665" t="s">
        <v>1046</v>
      </c>
      <c r="B708" s="638" t="s">
        <v>1047</v>
      </c>
      <c r="C708" s="171"/>
      <c r="D708" s="46" t="s">
        <v>198</v>
      </c>
      <c r="E708" s="188">
        <f>E709</f>
        <v>3587.2869999999998</v>
      </c>
      <c r="F708" s="188">
        <f t="shared" ref="F708:J708" si="308">F709</f>
        <v>0</v>
      </c>
      <c r="G708" s="188">
        <f t="shared" si="308"/>
        <v>0</v>
      </c>
      <c r="H708" s="188">
        <f t="shared" si="308"/>
        <v>3583.7</v>
      </c>
      <c r="I708" s="188">
        <f t="shared" si="308"/>
        <v>0</v>
      </c>
      <c r="J708" s="188">
        <f t="shared" si="308"/>
        <v>3.5870000000000002</v>
      </c>
      <c r="K708" s="261">
        <f t="shared" si="286"/>
        <v>3587.2869999999998</v>
      </c>
      <c r="L708" s="53"/>
      <c r="M708" s="50"/>
      <c r="N708" s="56"/>
      <c r="O708" s="700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6"/>
    </row>
    <row r="709" spans="1:57" s="48" customFormat="1" ht="32.25" customHeight="1" x14ac:dyDescent="0.2">
      <c r="A709" s="665"/>
      <c r="B709" s="640"/>
      <c r="C709" s="171"/>
      <c r="D709" s="189">
        <v>2019</v>
      </c>
      <c r="E709" s="188">
        <f>F709+G709+H709+I709+J709</f>
        <v>3587.2869999999998</v>
      </c>
      <c r="F709" s="188">
        <v>0</v>
      </c>
      <c r="G709" s="188">
        <v>0</v>
      </c>
      <c r="H709" s="188">
        <v>3583.7</v>
      </c>
      <c r="I709" s="188">
        <v>0</v>
      </c>
      <c r="J709" s="188">
        <v>3.5870000000000002</v>
      </c>
      <c r="K709" s="261">
        <f t="shared" si="286"/>
        <v>3587.2869999999998</v>
      </c>
      <c r="L709" s="53"/>
      <c r="M709" s="50"/>
      <c r="N709" s="56"/>
      <c r="O709" s="696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6"/>
    </row>
    <row r="710" spans="1:57" s="48" customFormat="1" ht="39" customHeight="1" x14ac:dyDescent="0.2">
      <c r="A710" s="697" t="s">
        <v>1058</v>
      </c>
      <c r="B710" s="638" t="s">
        <v>1059</v>
      </c>
      <c r="C710" s="310"/>
      <c r="D710" s="46" t="s">
        <v>198</v>
      </c>
      <c r="E710" s="317">
        <f>E711+E712+E713</f>
        <v>61.373000000000005</v>
      </c>
      <c r="F710" s="317">
        <f t="shared" ref="F710:J710" si="309">F711+F712+F713</f>
        <v>0</v>
      </c>
      <c r="G710" s="317">
        <f t="shared" si="309"/>
        <v>0</v>
      </c>
      <c r="H710" s="317">
        <f t="shared" si="309"/>
        <v>61.312000000000005</v>
      </c>
      <c r="I710" s="317">
        <f t="shared" si="309"/>
        <v>0</v>
      </c>
      <c r="J710" s="317">
        <f t="shared" si="309"/>
        <v>6.0999999999999999E-2</v>
      </c>
      <c r="K710" s="261">
        <f t="shared" si="286"/>
        <v>61.373000000000005</v>
      </c>
      <c r="L710" s="53"/>
      <c r="M710" s="50"/>
      <c r="N710" s="56"/>
      <c r="O710" s="312" t="s">
        <v>1095</v>
      </c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6"/>
    </row>
    <row r="711" spans="1:57" s="48" customFormat="1" x14ac:dyDescent="0.2">
      <c r="A711" s="698"/>
      <c r="B711" s="639"/>
      <c r="C711" s="310"/>
      <c r="D711" s="318">
        <v>2020</v>
      </c>
      <c r="E711" s="317">
        <f>F711+G711+H711+I711+J711</f>
        <v>31.966000000000001</v>
      </c>
      <c r="F711" s="317">
        <v>0</v>
      </c>
      <c r="G711" s="317">
        <v>0</v>
      </c>
      <c r="H711" s="317">
        <v>31.934000000000001</v>
      </c>
      <c r="I711" s="317">
        <v>0</v>
      </c>
      <c r="J711" s="317">
        <v>3.2000000000000001E-2</v>
      </c>
      <c r="K711" s="261">
        <f t="shared" si="286"/>
        <v>31.966000000000001</v>
      </c>
      <c r="L711" s="53"/>
      <c r="M711" s="50"/>
      <c r="N711" s="56"/>
      <c r="O711" s="312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6"/>
    </row>
    <row r="712" spans="1:57" s="48" customFormat="1" x14ac:dyDescent="0.2">
      <c r="A712" s="698"/>
      <c r="B712" s="639"/>
      <c r="C712" s="310"/>
      <c r="D712" s="318">
        <v>2021</v>
      </c>
      <c r="E712" s="317">
        <f t="shared" ref="E712:E713" si="310">F712+G712+H712+I712+J712</f>
        <v>13.425000000000001</v>
      </c>
      <c r="F712" s="317">
        <v>0</v>
      </c>
      <c r="G712" s="317">
        <v>0</v>
      </c>
      <c r="H712" s="317">
        <v>13.412000000000001</v>
      </c>
      <c r="I712" s="317">
        <v>0</v>
      </c>
      <c r="J712" s="317">
        <v>1.2999999999999999E-2</v>
      </c>
      <c r="K712" s="261"/>
      <c r="L712" s="53"/>
      <c r="M712" s="50"/>
      <c r="N712" s="56"/>
      <c r="O712" s="312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6"/>
    </row>
    <row r="713" spans="1:57" s="48" customFormat="1" x14ac:dyDescent="0.2">
      <c r="A713" s="699"/>
      <c r="B713" s="640"/>
      <c r="C713" s="310"/>
      <c r="D713" s="318">
        <v>2022</v>
      </c>
      <c r="E713" s="317">
        <f t="shared" si="310"/>
        <v>15.981999999999999</v>
      </c>
      <c r="F713" s="317">
        <v>0</v>
      </c>
      <c r="G713" s="317">
        <v>0</v>
      </c>
      <c r="H713" s="317">
        <v>15.965999999999999</v>
      </c>
      <c r="I713" s="317">
        <v>0</v>
      </c>
      <c r="J713" s="317">
        <v>1.6E-2</v>
      </c>
      <c r="K713" s="261"/>
      <c r="L713" s="53"/>
      <c r="M713" s="50"/>
      <c r="N713" s="56"/>
      <c r="O713" s="312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6"/>
    </row>
    <row r="714" spans="1:57" s="48" customFormat="1" ht="15" customHeight="1" x14ac:dyDescent="0.2">
      <c r="A714" s="731" t="s">
        <v>681</v>
      </c>
      <c r="B714" s="649" t="s">
        <v>609</v>
      </c>
      <c r="C714" s="322"/>
      <c r="D714" s="46" t="s">
        <v>198</v>
      </c>
      <c r="E714" s="47">
        <f>SUM(E715:E726)</f>
        <v>0.94011130231500806</v>
      </c>
      <c r="F714" s="47">
        <f>SUM(F715:F726)</f>
        <v>0.94011130231500806</v>
      </c>
      <c r="G714" s="47">
        <f t="shared" ref="G714:J714" si="311">SUM(G715:G726)</f>
        <v>0</v>
      </c>
      <c r="H714" s="47">
        <f t="shared" si="311"/>
        <v>0</v>
      </c>
      <c r="I714" s="47">
        <f t="shared" si="311"/>
        <v>0</v>
      </c>
      <c r="J714" s="47">
        <f t="shared" si="311"/>
        <v>0</v>
      </c>
      <c r="K714" s="261">
        <f t="shared" si="286"/>
        <v>0.94011130231500806</v>
      </c>
      <c r="L714" s="53"/>
      <c r="M714" s="50"/>
      <c r="N714" s="56"/>
      <c r="O714" s="178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6"/>
    </row>
    <row r="715" spans="1:57" s="48" customFormat="1" ht="15" customHeight="1" x14ac:dyDescent="0.2">
      <c r="A715" s="782"/>
      <c r="B715" s="701"/>
      <c r="C715" s="250"/>
      <c r="D715" s="46">
        <v>2019</v>
      </c>
      <c r="E715" s="47">
        <f>E728+E741+E742</f>
        <v>2.0999999999999998E-2</v>
      </c>
      <c r="F715" s="47">
        <f>F728+F741+F742</f>
        <v>2.0999999999999998E-2</v>
      </c>
      <c r="G715" s="47">
        <f t="shared" ref="G715:J715" si="312">G728+G741+G742</f>
        <v>0</v>
      </c>
      <c r="H715" s="47">
        <f t="shared" si="312"/>
        <v>0</v>
      </c>
      <c r="I715" s="47">
        <f t="shared" si="312"/>
        <v>0</v>
      </c>
      <c r="J715" s="47">
        <f t="shared" si="312"/>
        <v>0</v>
      </c>
      <c r="K715" s="261">
        <f t="shared" si="286"/>
        <v>2.0999999999999998E-2</v>
      </c>
      <c r="L715" s="53"/>
      <c r="M715" s="50"/>
      <c r="N715" s="56"/>
      <c r="O715" s="178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6"/>
    </row>
    <row r="716" spans="1:57" s="131" customFormat="1" ht="15" customHeight="1" x14ac:dyDescent="0.2">
      <c r="A716" s="782"/>
      <c r="B716" s="701"/>
      <c r="C716" s="409"/>
      <c r="D716" s="125">
        <v>2020</v>
      </c>
      <c r="E716" s="126">
        <f>F716</f>
        <v>5.5E-2</v>
      </c>
      <c r="F716" s="126">
        <f>F729+F744</f>
        <v>5.5E-2</v>
      </c>
      <c r="G716" s="126">
        <v>0</v>
      </c>
      <c r="H716" s="126">
        <v>0</v>
      </c>
      <c r="I716" s="126">
        <v>0</v>
      </c>
      <c r="J716" s="126">
        <v>0</v>
      </c>
      <c r="K716" s="136">
        <f t="shared" si="286"/>
        <v>5.5E-2</v>
      </c>
      <c r="L716" s="407"/>
      <c r="M716" s="127"/>
      <c r="N716" s="408"/>
      <c r="O716" s="410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  <c r="AC716" s="129"/>
      <c r="AD716" s="129"/>
      <c r="AE716" s="129"/>
      <c r="AF716" s="129"/>
      <c r="AG716" s="129"/>
      <c r="AH716" s="129"/>
      <c r="AI716" s="129"/>
      <c r="AJ716" s="129"/>
      <c r="AK716" s="129"/>
      <c r="AL716" s="129"/>
      <c r="AM716" s="129"/>
      <c r="AN716" s="129"/>
      <c r="AO716" s="129"/>
      <c r="AP716" s="129"/>
      <c r="AQ716" s="129"/>
      <c r="AR716" s="129"/>
      <c r="AS716" s="129"/>
      <c r="AT716" s="129"/>
      <c r="AU716" s="129"/>
      <c r="AV716" s="129"/>
      <c r="AW716" s="129"/>
      <c r="AX716" s="129"/>
      <c r="AY716" s="129"/>
      <c r="AZ716" s="129"/>
      <c r="BA716" s="129"/>
      <c r="BB716" s="129"/>
      <c r="BC716" s="129"/>
      <c r="BD716" s="129"/>
      <c r="BE716" s="130"/>
    </row>
    <row r="717" spans="1:57" s="131" customFormat="1" ht="15" customHeight="1" x14ac:dyDescent="0.2">
      <c r="A717" s="782"/>
      <c r="B717" s="701"/>
      <c r="C717" s="411"/>
      <c r="D717" s="125">
        <v>2021</v>
      </c>
      <c r="E717" s="126">
        <f t="shared" ref="E717:E725" si="313">F717</f>
        <v>5.62E-2</v>
      </c>
      <c r="F717" s="126">
        <f>F730+F745</f>
        <v>5.62E-2</v>
      </c>
      <c r="G717" s="126">
        <v>0</v>
      </c>
      <c r="H717" s="126">
        <v>0</v>
      </c>
      <c r="I717" s="126">
        <v>0</v>
      </c>
      <c r="J717" s="126">
        <v>0</v>
      </c>
      <c r="K717" s="136">
        <f t="shared" si="286"/>
        <v>5.62E-2</v>
      </c>
      <c r="L717" s="407"/>
      <c r="M717" s="127"/>
      <c r="N717" s="408"/>
      <c r="O717" s="410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  <c r="AC717" s="129"/>
      <c r="AD717" s="129"/>
      <c r="AE717" s="129"/>
      <c r="AF717" s="129"/>
      <c r="AG717" s="129"/>
      <c r="AH717" s="129"/>
      <c r="AI717" s="129"/>
      <c r="AJ717" s="129"/>
      <c r="AK717" s="129"/>
      <c r="AL717" s="129"/>
      <c r="AM717" s="129"/>
      <c r="AN717" s="129"/>
      <c r="AO717" s="129"/>
      <c r="AP717" s="129"/>
      <c r="AQ717" s="129"/>
      <c r="AR717" s="129"/>
      <c r="AS717" s="129"/>
      <c r="AT717" s="129"/>
      <c r="AU717" s="129"/>
      <c r="AV717" s="129"/>
      <c r="AW717" s="129"/>
      <c r="AX717" s="129"/>
      <c r="AY717" s="129"/>
      <c r="AZ717" s="129"/>
      <c r="BA717" s="129"/>
      <c r="BB717" s="129"/>
      <c r="BC717" s="129"/>
      <c r="BD717" s="129"/>
      <c r="BE717" s="130"/>
    </row>
    <row r="718" spans="1:57" s="131" customFormat="1" ht="15" customHeight="1" x14ac:dyDescent="0.2">
      <c r="A718" s="782"/>
      <c r="B718" s="701"/>
      <c r="C718" s="411"/>
      <c r="D718" s="125">
        <v>2022</v>
      </c>
      <c r="E718" s="126">
        <f t="shared" si="313"/>
        <v>5.7459999999999997E-2</v>
      </c>
      <c r="F718" s="126">
        <f>F731+F746</f>
        <v>5.7459999999999997E-2</v>
      </c>
      <c r="G718" s="126">
        <v>0</v>
      </c>
      <c r="H718" s="126">
        <v>0</v>
      </c>
      <c r="I718" s="126">
        <v>0</v>
      </c>
      <c r="J718" s="126">
        <v>0</v>
      </c>
      <c r="K718" s="136">
        <f t="shared" si="286"/>
        <v>5.7459999999999997E-2</v>
      </c>
      <c r="L718" s="407"/>
      <c r="M718" s="127"/>
      <c r="N718" s="408"/>
      <c r="O718" s="410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129"/>
      <c r="AF718" s="129"/>
      <c r="AG718" s="129"/>
      <c r="AH718" s="129"/>
      <c r="AI718" s="129"/>
      <c r="AJ718" s="129"/>
      <c r="AK718" s="129"/>
      <c r="AL718" s="129"/>
      <c r="AM718" s="129"/>
      <c r="AN718" s="129"/>
      <c r="AO718" s="129"/>
      <c r="AP718" s="129"/>
      <c r="AQ718" s="129"/>
      <c r="AR718" s="129"/>
      <c r="AS718" s="129"/>
      <c r="AT718" s="129"/>
      <c r="AU718" s="129"/>
      <c r="AV718" s="129"/>
      <c r="AW718" s="129"/>
      <c r="AX718" s="129"/>
      <c r="AY718" s="129"/>
      <c r="AZ718" s="129"/>
      <c r="BA718" s="129"/>
      <c r="BB718" s="129"/>
      <c r="BC718" s="129"/>
      <c r="BD718" s="129"/>
      <c r="BE718" s="130"/>
    </row>
    <row r="719" spans="1:57" s="48" customFormat="1" ht="15" customHeight="1" x14ac:dyDescent="0.2">
      <c r="A719" s="782"/>
      <c r="B719" s="701"/>
      <c r="C719" s="250"/>
      <c r="D719" s="46">
        <v>2023</v>
      </c>
      <c r="E719" s="47">
        <f t="shared" si="313"/>
        <v>8.5000000000000006E-2</v>
      </c>
      <c r="F719" s="47">
        <f t="shared" ref="F719:F726" si="314">F732+F747</f>
        <v>8.5000000000000006E-2</v>
      </c>
      <c r="G719" s="47">
        <v>0</v>
      </c>
      <c r="H719" s="47">
        <v>0</v>
      </c>
      <c r="I719" s="47">
        <v>0</v>
      </c>
      <c r="J719" s="47">
        <v>0</v>
      </c>
      <c r="K719" s="261">
        <f t="shared" ref="K719:K783" si="315">F719+G719+H719+I719+J719</f>
        <v>8.5000000000000006E-2</v>
      </c>
      <c r="L719" s="53"/>
      <c r="M719" s="50"/>
      <c r="N719" s="56"/>
      <c r="O719" s="178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6"/>
    </row>
    <row r="720" spans="1:57" s="48" customFormat="1" ht="15" customHeight="1" x14ac:dyDescent="0.2">
      <c r="A720" s="782"/>
      <c r="B720" s="701"/>
      <c r="C720" s="250"/>
      <c r="D720" s="46">
        <v>2024</v>
      </c>
      <c r="E720" s="47">
        <f t="shared" si="313"/>
        <v>8.6800000000000002E-2</v>
      </c>
      <c r="F720" s="47">
        <f t="shared" si="314"/>
        <v>8.6800000000000002E-2</v>
      </c>
      <c r="G720" s="47">
        <v>0</v>
      </c>
      <c r="H720" s="47">
        <v>0</v>
      </c>
      <c r="I720" s="47">
        <v>0</v>
      </c>
      <c r="J720" s="47">
        <v>0</v>
      </c>
      <c r="K720" s="261">
        <f t="shared" si="315"/>
        <v>8.6800000000000002E-2</v>
      </c>
      <c r="L720" s="53"/>
      <c r="M720" s="50"/>
      <c r="N720" s="56"/>
      <c r="O720" s="178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6"/>
    </row>
    <row r="721" spans="1:57" s="48" customFormat="1" ht="15" customHeight="1" x14ac:dyDescent="0.2">
      <c r="A721" s="782"/>
      <c r="B721" s="701"/>
      <c r="C721" s="250"/>
      <c r="D721" s="46">
        <v>2025</v>
      </c>
      <c r="E721" s="47">
        <f t="shared" si="313"/>
        <v>8.8669999999999999E-2</v>
      </c>
      <c r="F721" s="47">
        <f t="shared" si="314"/>
        <v>8.8669999999999999E-2</v>
      </c>
      <c r="G721" s="47">
        <v>0</v>
      </c>
      <c r="H721" s="47">
        <v>0</v>
      </c>
      <c r="I721" s="47">
        <v>0</v>
      </c>
      <c r="J721" s="47">
        <v>0</v>
      </c>
      <c r="K721" s="261">
        <f t="shared" si="315"/>
        <v>8.8669999999999999E-2</v>
      </c>
      <c r="L721" s="53"/>
      <c r="M721" s="50"/>
      <c r="N721" s="56"/>
      <c r="O721" s="178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6"/>
    </row>
    <row r="722" spans="1:57" s="48" customFormat="1" ht="15" customHeight="1" x14ac:dyDescent="0.2">
      <c r="A722" s="782"/>
      <c r="B722" s="701"/>
      <c r="C722" s="250"/>
      <c r="D722" s="46">
        <v>2026</v>
      </c>
      <c r="E722" s="47">
        <f t="shared" si="313"/>
        <v>9.1616799999999998E-2</v>
      </c>
      <c r="F722" s="47">
        <f t="shared" si="314"/>
        <v>9.1616799999999998E-2</v>
      </c>
      <c r="G722" s="47">
        <v>0</v>
      </c>
      <c r="H722" s="47">
        <v>0</v>
      </c>
      <c r="I722" s="47">
        <v>0</v>
      </c>
      <c r="J722" s="47">
        <v>0</v>
      </c>
      <c r="K722" s="261">
        <f t="shared" si="315"/>
        <v>9.1616799999999998E-2</v>
      </c>
      <c r="L722" s="53"/>
      <c r="M722" s="50"/>
      <c r="N722" s="56"/>
      <c r="O722" s="178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6"/>
    </row>
    <row r="723" spans="1:57" s="48" customFormat="1" ht="15" customHeight="1" x14ac:dyDescent="0.2">
      <c r="A723" s="782"/>
      <c r="B723" s="701"/>
      <c r="C723" s="250"/>
      <c r="D723" s="46">
        <v>2027</v>
      </c>
      <c r="E723" s="47">
        <f t="shared" si="313"/>
        <v>9.4681472000000003E-2</v>
      </c>
      <c r="F723" s="47">
        <f t="shared" si="314"/>
        <v>9.4681472000000003E-2</v>
      </c>
      <c r="G723" s="47">
        <v>0</v>
      </c>
      <c r="H723" s="47">
        <v>0</v>
      </c>
      <c r="I723" s="47">
        <v>0</v>
      </c>
      <c r="J723" s="47">
        <v>0</v>
      </c>
      <c r="K723" s="261">
        <f t="shared" si="315"/>
        <v>9.4681472000000003E-2</v>
      </c>
      <c r="L723" s="53"/>
      <c r="M723" s="50"/>
      <c r="N723" s="56"/>
      <c r="O723" s="178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6"/>
    </row>
    <row r="724" spans="1:57" s="48" customFormat="1" ht="15" customHeight="1" x14ac:dyDescent="0.2">
      <c r="A724" s="782"/>
      <c r="B724" s="701"/>
      <c r="C724" s="250"/>
      <c r="D724" s="46">
        <v>2028</v>
      </c>
      <c r="E724" s="47">
        <f t="shared" si="313"/>
        <v>9.7868730880000004E-2</v>
      </c>
      <c r="F724" s="47">
        <f t="shared" si="314"/>
        <v>9.7868730880000004E-2</v>
      </c>
      <c r="G724" s="47">
        <v>0</v>
      </c>
      <c r="H724" s="47">
        <v>0</v>
      </c>
      <c r="I724" s="47">
        <v>0</v>
      </c>
      <c r="J724" s="47">
        <v>0</v>
      </c>
      <c r="K724" s="261">
        <f t="shared" si="315"/>
        <v>9.7868730880000004E-2</v>
      </c>
      <c r="L724" s="53"/>
      <c r="M724" s="50"/>
      <c r="N724" s="56"/>
      <c r="O724" s="178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6"/>
    </row>
    <row r="725" spans="1:57" s="48" customFormat="1" ht="15" customHeight="1" x14ac:dyDescent="0.2">
      <c r="A725" s="782"/>
      <c r="B725" s="701"/>
      <c r="C725" s="250"/>
      <c r="D725" s="46">
        <v>2029</v>
      </c>
      <c r="E725" s="47">
        <f t="shared" si="313"/>
        <v>0.10118348011520001</v>
      </c>
      <c r="F725" s="47">
        <f t="shared" si="314"/>
        <v>0.10118348011520001</v>
      </c>
      <c r="G725" s="47">
        <v>0</v>
      </c>
      <c r="H725" s="47">
        <v>0</v>
      </c>
      <c r="I725" s="47">
        <v>0</v>
      </c>
      <c r="J725" s="47">
        <v>0</v>
      </c>
      <c r="K725" s="261">
        <f t="shared" si="315"/>
        <v>0.10118348011520001</v>
      </c>
      <c r="L725" s="53"/>
      <c r="M725" s="50"/>
      <c r="N725" s="56"/>
      <c r="O725" s="178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6"/>
    </row>
    <row r="726" spans="1:57" s="48" customFormat="1" ht="15" customHeight="1" x14ac:dyDescent="0.2">
      <c r="A726" s="782"/>
      <c r="B726" s="702"/>
      <c r="C726" s="250"/>
      <c r="D726" s="46">
        <v>2030</v>
      </c>
      <c r="E726" s="47">
        <f>F726</f>
        <v>0.10463081931980801</v>
      </c>
      <c r="F726" s="47">
        <f t="shared" si="314"/>
        <v>0.10463081931980801</v>
      </c>
      <c r="G726" s="47">
        <v>0</v>
      </c>
      <c r="H726" s="47">
        <v>0</v>
      </c>
      <c r="I726" s="47">
        <v>0</v>
      </c>
      <c r="J726" s="47">
        <v>0</v>
      </c>
      <c r="K726" s="261">
        <f t="shared" si="315"/>
        <v>0.10463081931980801</v>
      </c>
      <c r="L726" s="53"/>
      <c r="M726" s="50"/>
      <c r="N726" s="56"/>
      <c r="O726" s="178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6"/>
    </row>
    <row r="727" spans="1:57" s="48" customFormat="1" x14ac:dyDescent="0.2">
      <c r="A727" s="662" t="s">
        <v>682</v>
      </c>
      <c r="B727" s="648" t="s">
        <v>732</v>
      </c>
      <c r="C727" s="137"/>
      <c r="D727" s="46" t="s">
        <v>198</v>
      </c>
      <c r="E727" s="47">
        <f>SUM(E728:E739)</f>
        <v>0.16122000000000003</v>
      </c>
      <c r="F727" s="47">
        <f>SUM(F728:F739)</f>
        <v>0.16122000000000003</v>
      </c>
      <c r="G727" s="47">
        <f t="shared" ref="G727:J727" si="316">SUM(G728:G739)</f>
        <v>0</v>
      </c>
      <c r="H727" s="47">
        <f t="shared" si="316"/>
        <v>0</v>
      </c>
      <c r="I727" s="47">
        <f t="shared" si="316"/>
        <v>0</v>
      </c>
      <c r="J727" s="47">
        <f t="shared" si="316"/>
        <v>0</v>
      </c>
      <c r="K727" s="261">
        <f t="shared" si="315"/>
        <v>0.16122000000000003</v>
      </c>
      <c r="L727" s="53"/>
      <c r="M727" s="50"/>
      <c r="N727" s="56"/>
      <c r="O727" s="178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6"/>
    </row>
    <row r="728" spans="1:57" s="48" customFormat="1" ht="77.25" customHeight="1" x14ac:dyDescent="0.2">
      <c r="A728" s="717"/>
      <c r="B728" s="701"/>
      <c r="C728" s="183" t="s">
        <v>733</v>
      </c>
      <c r="D728" s="189">
        <v>2019</v>
      </c>
      <c r="E728" s="188">
        <f>F728</f>
        <v>0.01</v>
      </c>
      <c r="F728" s="188">
        <v>0.01</v>
      </c>
      <c r="G728" s="188">
        <v>0</v>
      </c>
      <c r="H728" s="188">
        <v>0</v>
      </c>
      <c r="I728" s="188">
        <v>0</v>
      </c>
      <c r="J728" s="188">
        <v>0</v>
      </c>
      <c r="K728" s="261">
        <f t="shared" si="315"/>
        <v>0.01</v>
      </c>
      <c r="L728" s="53"/>
      <c r="M728" s="50"/>
      <c r="N728" s="56"/>
      <c r="O728" s="746" t="s">
        <v>230</v>
      </c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6"/>
    </row>
    <row r="729" spans="1:57" s="131" customFormat="1" ht="22.5" customHeight="1" x14ac:dyDescent="0.2">
      <c r="A729" s="717"/>
      <c r="B729" s="701"/>
      <c r="C729" s="631" t="s">
        <v>913</v>
      </c>
      <c r="D729" s="132">
        <v>2020</v>
      </c>
      <c r="E729" s="133">
        <f t="shared" ref="E729:E739" si="317">F729</f>
        <v>0.01</v>
      </c>
      <c r="F729" s="133">
        <v>0.01</v>
      </c>
      <c r="G729" s="133">
        <v>0</v>
      </c>
      <c r="H729" s="133">
        <v>0</v>
      </c>
      <c r="I729" s="133">
        <v>0</v>
      </c>
      <c r="J729" s="133">
        <v>0</v>
      </c>
      <c r="K729" s="136">
        <f t="shared" si="315"/>
        <v>0.01</v>
      </c>
      <c r="L729" s="407"/>
      <c r="M729" s="127"/>
      <c r="N729" s="408"/>
      <c r="O729" s="747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  <c r="AC729" s="129"/>
      <c r="AD729" s="129"/>
      <c r="AE729" s="129"/>
      <c r="AF729" s="129"/>
      <c r="AG729" s="129"/>
      <c r="AH729" s="129"/>
      <c r="AI729" s="129"/>
      <c r="AJ729" s="129"/>
      <c r="AK729" s="129"/>
      <c r="AL729" s="129"/>
      <c r="AM729" s="129"/>
      <c r="AN729" s="129"/>
      <c r="AO729" s="129"/>
      <c r="AP729" s="129"/>
      <c r="AQ729" s="129"/>
      <c r="AR729" s="129"/>
      <c r="AS729" s="129"/>
      <c r="AT729" s="129"/>
      <c r="AU729" s="129"/>
      <c r="AV729" s="129"/>
      <c r="AW729" s="129"/>
      <c r="AX729" s="129"/>
      <c r="AY729" s="129"/>
      <c r="AZ729" s="129"/>
      <c r="BA729" s="129"/>
      <c r="BB729" s="129"/>
      <c r="BC729" s="129"/>
      <c r="BD729" s="129"/>
      <c r="BE729" s="130"/>
    </row>
    <row r="730" spans="1:57" s="131" customFormat="1" ht="22.5" customHeight="1" x14ac:dyDescent="0.2">
      <c r="A730" s="717"/>
      <c r="B730" s="701"/>
      <c r="C730" s="648"/>
      <c r="D730" s="132">
        <v>2021</v>
      </c>
      <c r="E730" s="133">
        <f t="shared" si="317"/>
        <v>1.04E-2</v>
      </c>
      <c r="F730" s="133">
        <v>1.04E-2</v>
      </c>
      <c r="G730" s="133">
        <v>0</v>
      </c>
      <c r="H730" s="133">
        <v>0</v>
      </c>
      <c r="I730" s="133">
        <v>0</v>
      </c>
      <c r="J730" s="133">
        <v>0</v>
      </c>
      <c r="K730" s="136">
        <f t="shared" si="315"/>
        <v>1.04E-2</v>
      </c>
      <c r="L730" s="407"/>
      <c r="M730" s="127"/>
      <c r="N730" s="408"/>
      <c r="O730" s="747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  <c r="AT730" s="129"/>
      <c r="AU730" s="129"/>
      <c r="AV730" s="129"/>
      <c r="AW730" s="129"/>
      <c r="AX730" s="129"/>
      <c r="AY730" s="129"/>
      <c r="AZ730" s="129"/>
      <c r="BA730" s="129"/>
      <c r="BB730" s="129"/>
      <c r="BC730" s="129"/>
      <c r="BD730" s="129"/>
      <c r="BE730" s="130"/>
    </row>
    <row r="731" spans="1:57" s="131" customFormat="1" ht="22.5" customHeight="1" x14ac:dyDescent="0.2">
      <c r="A731" s="717"/>
      <c r="B731" s="701"/>
      <c r="C731" s="648"/>
      <c r="D731" s="132">
        <v>2022</v>
      </c>
      <c r="E731" s="133">
        <f t="shared" si="317"/>
        <v>1.082E-2</v>
      </c>
      <c r="F731" s="133">
        <v>1.082E-2</v>
      </c>
      <c r="G731" s="133">
        <v>0</v>
      </c>
      <c r="H731" s="133">
        <v>0</v>
      </c>
      <c r="I731" s="133">
        <v>0</v>
      </c>
      <c r="J731" s="133">
        <v>0</v>
      </c>
      <c r="K731" s="136">
        <f t="shared" si="315"/>
        <v>1.082E-2</v>
      </c>
      <c r="L731" s="407"/>
      <c r="M731" s="127"/>
      <c r="N731" s="408"/>
      <c r="O731" s="747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  <c r="AC731" s="129"/>
      <c r="AD731" s="129"/>
      <c r="AE731" s="129"/>
      <c r="AF731" s="129"/>
      <c r="AG731" s="129"/>
      <c r="AH731" s="129"/>
      <c r="AI731" s="129"/>
      <c r="AJ731" s="129"/>
      <c r="AK731" s="129"/>
      <c r="AL731" s="129"/>
      <c r="AM731" s="129"/>
      <c r="AN731" s="129"/>
      <c r="AO731" s="129"/>
      <c r="AP731" s="129"/>
      <c r="AQ731" s="129"/>
      <c r="AR731" s="129"/>
      <c r="AS731" s="129"/>
      <c r="AT731" s="129"/>
      <c r="AU731" s="129"/>
      <c r="AV731" s="129"/>
      <c r="AW731" s="129"/>
      <c r="AX731" s="129"/>
      <c r="AY731" s="129"/>
      <c r="AZ731" s="129"/>
      <c r="BA731" s="129"/>
      <c r="BB731" s="129"/>
      <c r="BC731" s="129"/>
      <c r="BD731" s="129"/>
      <c r="BE731" s="130"/>
    </row>
    <row r="732" spans="1:57" s="48" customFormat="1" ht="22.5" customHeight="1" x14ac:dyDescent="0.2">
      <c r="A732" s="717"/>
      <c r="B732" s="701"/>
      <c r="C732" s="648"/>
      <c r="D732" s="189">
        <v>2023</v>
      </c>
      <c r="E732" s="188">
        <f t="shared" si="317"/>
        <v>1.4999999999999999E-2</v>
      </c>
      <c r="F732" s="188">
        <v>1.4999999999999999E-2</v>
      </c>
      <c r="G732" s="188">
        <v>0</v>
      </c>
      <c r="H732" s="188">
        <v>0</v>
      </c>
      <c r="I732" s="188">
        <v>0</v>
      </c>
      <c r="J732" s="188">
        <v>0</v>
      </c>
      <c r="K732" s="261">
        <f t="shared" si="315"/>
        <v>1.4999999999999999E-2</v>
      </c>
      <c r="L732" s="53"/>
      <c r="M732" s="50"/>
      <c r="N732" s="56"/>
      <c r="O732" s="747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6"/>
    </row>
    <row r="733" spans="1:57" s="48" customFormat="1" ht="22.5" customHeight="1" x14ac:dyDescent="0.2">
      <c r="A733" s="717"/>
      <c r="B733" s="701"/>
      <c r="C733" s="648"/>
      <c r="D733" s="189">
        <v>2024</v>
      </c>
      <c r="E733" s="188">
        <f t="shared" si="317"/>
        <v>1.4999999999999999E-2</v>
      </c>
      <c r="F733" s="188">
        <v>1.4999999999999999E-2</v>
      </c>
      <c r="G733" s="188">
        <v>0</v>
      </c>
      <c r="H733" s="188">
        <v>0</v>
      </c>
      <c r="I733" s="188">
        <v>0</v>
      </c>
      <c r="J733" s="188">
        <v>0</v>
      </c>
      <c r="K733" s="261">
        <f t="shared" si="315"/>
        <v>1.4999999999999999E-2</v>
      </c>
      <c r="L733" s="53"/>
      <c r="M733" s="50"/>
      <c r="N733" s="56"/>
      <c r="O733" s="747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6"/>
    </row>
    <row r="734" spans="1:57" s="48" customFormat="1" ht="22.5" customHeight="1" x14ac:dyDescent="0.2">
      <c r="A734" s="717"/>
      <c r="B734" s="701"/>
      <c r="C734" s="648"/>
      <c r="D734" s="189">
        <v>2025</v>
      </c>
      <c r="E734" s="188">
        <f t="shared" si="317"/>
        <v>1.4999999999999999E-2</v>
      </c>
      <c r="F734" s="188">
        <v>1.4999999999999999E-2</v>
      </c>
      <c r="G734" s="188">
        <v>0</v>
      </c>
      <c r="H734" s="188">
        <v>0</v>
      </c>
      <c r="I734" s="188">
        <v>0</v>
      </c>
      <c r="J734" s="188">
        <v>0</v>
      </c>
      <c r="K734" s="261">
        <f t="shared" si="315"/>
        <v>1.4999999999999999E-2</v>
      </c>
      <c r="L734" s="53"/>
      <c r="M734" s="50"/>
      <c r="N734" s="56"/>
      <c r="O734" s="747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6"/>
    </row>
    <row r="735" spans="1:57" s="48" customFormat="1" ht="22.5" customHeight="1" x14ac:dyDescent="0.2">
      <c r="A735" s="717"/>
      <c r="B735" s="701"/>
      <c r="C735" s="648"/>
      <c r="D735" s="189">
        <v>2026</v>
      </c>
      <c r="E735" s="188">
        <f t="shared" si="317"/>
        <v>1.4999999999999999E-2</v>
      </c>
      <c r="F735" s="188">
        <v>1.4999999999999999E-2</v>
      </c>
      <c r="G735" s="188">
        <v>0</v>
      </c>
      <c r="H735" s="188">
        <v>0</v>
      </c>
      <c r="I735" s="188">
        <v>0</v>
      </c>
      <c r="J735" s="188">
        <v>0</v>
      </c>
      <c r="K735" s="261">
        <f t="shared" si="315"/>
        <v>1.4999999999999999E-2</v>
      </c>
      <c r="L735" s="53"/>
      <c r="M735" s="50"/>
      <c r="N735" s="56"/>
      <c r="O735" s="747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6"/>
    </row>
    <row r="736" spans="1:57" s="48" customFormat="1" ht="22.5" customHeight="1" x14ac:dyDescent="0.2">
      <c r="A736" s="717"/>
      <c r="B736" s="701"/>
      <c r="C736" s="648"/>
      <c r="D736" s="189">
        <v>2027</v>
      </c>
      <c r="E736" s="188">
        <f t="shared" si="317"/>
        <v>1.4999999999999999E-2</v>
      </c>
      <c r="F736" s="188">
        <v>1.4999999999999999E-2</v>
      </c>
      <c r="G736" s="188">
        <v>0</v>
      </c>
      <c r="H736" s="188">
        <v>0</v>
      </c>
      <c r="I736" s="188">
        <v>0</v>
      </c>
      <c r="J736" s="188">
        <v>0</v>
      </c>
      <c r="K736" s="261">
        <f t="shared" si="315"/>
        <v>1.4999999999999999E-2</v>
      </c>
      <c r="L736" s="53"/>
      <c r="M736" s="50"/>
      <c r="N736" s="56"/>
      <c r="O736" s="747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6"/>
    </row>
    <row r="737" spans="1:57" s="48" customFormat="1" ht="22.5" customHeight="1" x14ac:dyDescent="0.2">
      <c r="A737" s="717"/>
      <c r="B737" s="701"/>
      <c r="C737" s="648"/>
      <c r="D737" s="189">
        <v>2028</v>
      </c>
      <c r="E737" s="188">
        <f t="shared" si="317"/>
        <v>1.4999999999999999E-2</v>
      </c>
      <c r="F737" s="188">
        <v>1.4999999999999999E-2</v>
      </c>
      <c r="G737" s="188">
        <v>0</v>
      </c>
      <c r="H737" s="188">
        <v>0</v>
      </c>
      <c r="I737" s="188">
        <v>0</v>
      </c>
      <c r="J737" s="188">
        <v>0</v>
      </c>
      <c r="K737" s="261">
        <f t="shared" si="315"/>
        <v>1.4999999999999999E-2</v>
      </c>
      <c r="L737" s="53"/>
      <c r="M737" s="50"/>
      <c r="N737" s="56"/>
      <c r="O737" s="747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6"/>
    </row>
    <row r="738" spans="1:57" s="48" customFormat="1" ht="22.5" customHeight="1" x14ac:dyDescent="0.2">
      <c r="A738" s="717"/>
      <c r="B738" s="701"/>
      <c r="C738" s="648"/>
      <c r="D738" s="189">
        <v>2029</v>
      </c>
      <c r="E738" s="188">
        <f t="shared" si="317"/>
        <v>1.4999999999999999E-2</v>
      </c>
      <c r="F738" s="188">
        <v>1.4999999999999999E-2</v>
      </c>
      <c r="G738" s="188">
        <v>0</v>
      </c>
      <c r="H738" s="188">
        <v>0</v>
      </c>
      <c r="I738" s="188">
        <v>0</v>
      </c>
      <c r="J738" s="188">
        <v>0</v>
      </c>
      <c r="K738" s="261">
        <f t="shared" si="315"/>
        <v>1.4999999999999999E-2</v>
      </c>
      <c r="L738" s="53"/>
      <c r="M738" s="50"/>
      <c r="N738" s="56"/>
      <c r="O738" s="747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6"/>
    </row>
    <row r="739" spans="1:57" s="48" customFormat="1" ht="22.5" customHeight="1" x14ac:dyDescent="0.2">
      <c r="A739" s="734"/>
      <c r="B739" s="702"/>
      <c r="C739" s="632"/>
      <c r="D739" s="189">
        <v>2030</v>
      </c>
      <c r="E739" s="188">
        <f t="shared" si="317"/>
        <v>1.4999999999999999E-2</v>
      </c>
      <c r="F739" s="188">
        <v>1.4999999999999999E-2</v>
      </c>
      <c r="G739" s="188">
        <v>0</v>
      </c>
      <c r="H739" s="188">
        <v>0</v>
      </c>
      <c r="I739" s="188">
        <v>0</v>
      </c>
      <c r="J739" s="188">
        <v>0</v>
      </c>
      <c r="K739" s="261">
        <f t="shared" si="315"/>
        <v>1.4999999999999999E-2</v>
      </c>
      <c r="L739" s="53"/>
      <c r="M739" s="50"/>
      <c r="N739" s="56"/>
      <c r="O739" s="748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6"/>
    </row>
    <row r="740" spans="1:57" s="48" customFormat="1" x14ac:dyDescent="0.2">
      <c r="A740" s="662" t="s">
        <v>734</v>
      </c>
      <c r="B740" s="631" t="s">
        <v>735</v>
      </c>
      <c r="C740" s="169"/>
      <c r="D740" s="46" t="s">
        <v>198</v>
      </c>
      <c r="E740" s="47">
        <f t="shared" ref="E740:J740" si="318">SUM(SUM(E741:E741))</f>
        <v>1.0999999999999999E-2</v>
      </c>
      <c r="F740" s="47">
        <f t="shared" si="318"/>
        <v>1.0999999999999999E-2</v>
      </c>
      <c r="G740" s="47">
        <f t="shared" si="318"/>
        <v>0</v>
      </c>
      <c r="H740" s="47">
        <f t="shared" si="318"/>
        <v>0</v>
      </c>
      <c r="I740" s="47">
        <f t="shared" si="318"/>
        <v>0</v>
      </c>
      <c r="J740" s="47">
        <f t="shared" si="318"/>
        <v>0</v>
      </c>
      <c r="K740" s="261">
        <f t="shared" si="315"/>
        <v>1.0999999999999999E-2</v>
      </c>
      <c r="L740" s="53"/>
      <c r="M740" s="50"/>
      <c r="N740" s="56"/>
      <c r="O740" s="769" t="s">
        <v>230</v>
      </c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6"/>
    </row>
    <row r="741" spans="1:57" s="48" customFormat="1" ht="63.75" x14ac:dyDescent="0.2">
      <c r="A741" s="663"/>
      <c r="B741" s="632"/>
      <c r="C741" s="183" t="s">
        <v>733</v>
      </c>
      <c r="D741" s="189">
        <v>2019</v>
      </c>
      <c r="E741" s="188">
        <f>F741+G741+H741+I741+J741</f>
        <v>1.0999999999999999E-2</v>
      </c>
      <c r="F741" s="188">
        <v>1.0999999999999999E-2</v>
      </c>
      <c r="G741" s="188">
        <v>0</v>
      </c>
      <c r="H741" s="188">
        <v>0</v>
      </c>
      <c r="I741" s="188">
        <v>0</v>
      </c>
      <c r="J741" s="188">
        <v>0</v>
      </c>
      <c r="K741" s="261">
        <f t="shared" si="315"/>
        <v>1.0999999999999999E-2</v>
      </c>
      <c r="L741" s="53"/>
      <c r="M741" s="50"/>
      <c r="N741" s="56"/>
      <c r="O741" s="784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6"/>
    </row>
    <row r="742" spans="1:57" s="48" customFormat="1" ht="63.75" x14ac:dyDescent="0.2">
      <c r="A742" s="210" t="s">
        <v>860</v>
      </c>
      <c r="B742" s="183" t="s">
        <v>862</v>
      </c>
      <c r="C742" s="183" t="s">
        <v>733</v>
      </c>
      <c r="D742" s="189">
        <v>2019</v>
      </c>
      <c r="E742" s="188">
        <f>F742+G742+H742+I742+J742</f>
        <v>0</v>
      </c>
      <c r="F742" s="188">
        <v>0</v>
      </c>
      <c r="G742" s="188">
        <v>0</v>
      </c>
      <c r="H742" s="188">
        <v>0</v>
      </c>
      <c r="I742" s="188">
        <v>0</v>
      </c>
      <c r="J742" s="188">
        <v>0</v>
      </c>
      <c r="K742" s="261">
        <f t="shared" si="315"/>
        <v>0</v>
      </c>
      <c r="L742" s="53"/>
      <c r="M742" s="50"/>
      <c r="N742" s="56"/>
      <c r="O742" s="747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6"/>
    </row>
    <row r="743" spans="1:57" s="90" customFormat="1" ht="19.5" customHeight="1" x14ac:dyDescent="0.2">
      <c r="A743" s="662" t="s">
        <v>915</v>
      </c>
      <c r="B743" s="631" t="s">
        <v>914</v>
      </c>
      <c r="C743" s="244"/>
      <c r="D743" s="46" t="s">
        <v>198</v>
      </c>
      <c r="E743" s="47">
        <f>E744+E745+E746+E747+E748+E749+E750+E751+E752+E753+E754</f>
        <v>0.76789130231500813</v>
      </c>
      <c r="F743" s="47">
        <f>F744+F745+F746+F747+F748+F749+F750+F751+F752+F753+F754</f>
        <v>0.76789130231500813</v>
      </c>
      <c r="G743" s="47">
        <f t="shared" ref="G743:J743" si="319">G744+G745+G746+G747+G748+G749+G750+G751+G752+G753+G754</f>
        <v>0</v>
      </c>
      <c r="H743" s="47">
        <f t="shared" si="319"/>
        <v>0</v>
      </c>
      <c r="I743" s="47">
        <f t="shared" si="319"/>
        <v>0</v>
      </c>
      <c r="J743" s="47">
        <f t="shared" si="319"/>
        <v>0</v>
      </c>
      <c r="K743" s="261">
        <f t="shared" si="315"/>
        <v>0.76789130231500813</v>
      </c>
      <c r="L743" s="52"/>
      <c r="M743" s="50"/>
      <c r="N743" s="51"/>
      <c r="O743" s="747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9"/>
    </row>
    <row r="744" spans="1:57" s="131" customFormat="1" ht="14.25" customHeight="1" x14ac:dyDescent="0.2">
      <c r="A744" s="663"/>
      <c r="B744" s="648"/>
      <c r="C744" s="678" t="s">
        <v>916</v>
      </c>
      <c r="D744" s="132">
        <v>2020</v>
      </c>
      <c r="E744" s="133">
        <f t="shared" ref="E744:E754" si="320">F744+G744+H744+I744+J744</f>
        <v>4.4999999999999998E-2</v>
      </c>
      <c r="F744" s="133">
        <v>4.4999999999999998E-2</v>
      </c>
      <c r="G744" s="133">
        <v>0</v>
      </c>
      <c r="H744" s="133">
        <v>0</v>
      </c>
      <c r="I744" s="133">
        <v>0</v>
      </c>
      <c r="J744" s="133">
        <v>0</v>
      </c>
      <c r="K744" s="136">
        <f t="shared" si="315"/>
        <v>4.4999999999999998E-2</v>
      </c>
      <c r="L744" s="407"/>
      <c r="M744" s="127"/>
      <c r="N744" s="408"/>
      <c r="O744" s="747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129"/>
      <c r="AM744" s="129"/>
      <c r="AN744" s="129"/>
      <c r="AO744" s="129"/>
      <c r="AP744" s="129"/>
      <c r="AQ744" s="129"/>
      <c r="AR744" s="129"/>
      <c r="AS744" s="129"/>
      <c r="AT744" s="129"/>
      <c r="AU744" s="129"/>
      <c r="AV744" s="129"/>
      <c r="AW744" s="129"/>
      <c r="AX744" s="129"/>
      <c r="AY744" s="129"/>
      <c r="AZ744" s="129"/>
      <c r="BA744" s="129"/>
      <c r="BB744" s="129"/>
      <c r="BC744" s="129"/>
      <c r="BD744" s="129"/>
      <c r="BE744" s="130"/>
    </row>
    <row r="745" spans="1:57" s="131" customFormat="1" ht="15.75" customHeight="1" x14ac:dyDescent="0.2">
      <c r="A745" s="663"/>
      <c r="B745" s="648"/>
      <c r="C745" s="678"/>
      <c r="D745" s="132">
        <v>2021</v>
      </c>
      <c r="E745" s="133">
        <f t="shared" si="320"/>
        <v>4.58E-2</v>
      </c>
      <c r="F745" s="133">
        <v>4.58E-2</v>
      </c>
      <c r="G745" s="133">
        <v>0</v>
      </c>
      <c r="H745" s="133">
        <v>0</v>
      </c>
      <c r="I745" s="133">
        <v>0</v>
      </c>
      <c r="J745" s="133">
        <v>0</v>
      </c>
      <c r="K745" s="136">
        <f t="shared" si="315"/>
        <v>4.58E-2</v>
      </c>
      <c r="L745" s="407"/>
      <c r="M745" s="127"/>
      <c r="N745" s="408"/>
      <c r="O745" s="747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  <c r="AA745" s="129"/>
      <c r="AB745" s="129"/>
      <c r="AC745" s="129"/>
      <c r="AD745" s="129"/>
      <c r="AE745" s="129"/>
      <c r="AF745" s="129"/>
      <c r="AG745" s="129"/>
      <c r="AH745" s="129"/>
      <c r="AI745" s="129"/>
      <c r="AJ745" s="129"/>
      <c r="AK745" s="129"/>
      <c r="AL745" s="129"/>
      <c r="AM745" s="129"/>
      <c r="AN745" s="129"/>
      <c r="AO745" s="129"/>
      <c r="AP745" s="129"/>
      <c r="AQ745" s="129"/>
      <c r="AR745" s="129"/>
      <c r="AS745" s="129"/>
      <c r="AT745" s="129"/>
      <c r="AU745" s="129"/>
      <c r="AV745" s="129"/>
      <c r="AW745" s="129"/>
      <c r="AX745" s="129"/>
      <c r="AY745" s="129"/>
      <c r="AZ745" s="129"/>
      <c r="BA745" s="129"/>
      <c r="BB745" s="129"/>
      <c r="BC745" s="129"/>
      <c r="BD745" s="129"/>
      <c r="BE745" s="130"/>
    </row>
    <row r="746" spans="1:57" s="131" customFormat="1" ht="17.25" customHeight="1" x14ac:dyDescent="0.2">
      <c r="A746" s="663"/>
      <c r="B746" s="648"/>
      <c r="C746" s="678"/>
      <c r="D746" s="132">
        <v>2022</v>
      </c>
      <c r="E746" s="133">
        <f t="shared" si="320"/>
        <v>4.6640000000000001E-2</v>
      </c>
      <c r="F746" s="133">
        <v>4.6640000000000001E-2</v>
      </c>
      <c r="G746" s="133">
        <v>0</v>
      </c>
      <c r="H746" s="133">
        <v>0</v>
      </c>
      <c r="I746" s="133">
        <v>0</v>
      </c>
      <c r="J746" s="133">
        <v>0</v>
      </c>
      <c r="K746" s="136">
        <f t="shared" si="315"/>
        <v>4.6640000000000001E-2</v>
      </c>
      <c r="L746" s="407"/>
      <c r="M746" s="127"/>
      <c r="N746" s="408"/>
      <c r="O746" s="747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  <c r="AB746" s="129"/>
      <c r="AC746" s="129"/>
      <c r="AD746" s="129"/>
      <c r="AE746" s="129"/>
      <c r="AF746" s="129"/>
      <c r="AG746" s="129"/>
      <c r="AH746" s="129"/>
      <c r="AI746" s="129"/>
      <c r="AJ746" s="129"/>
      <c r="AK746" s="129"/>
      <c r="AL746" s="129"/>
      <c r="AM746" s="129"/>
      <c r="AN746" s="129"/>
      <c r="AO746" s="129"/>
      <c r="AP746" s="129"/>
      <c r="AQ746" s="129"/>
      <c r="AR746" s="129"/>
      <c r="AS746" s="129"/>
      <c r="AT746" s="129"/>
      <c r="AU746" s="129"/>
      <c r="AV746" s="129"/>
      <c r="AW746" s="129"/>
      <c r="AX746" s="129"/>
      <c r="AY746" s="129"/>
      <c r="AZ746" s="129"/>
      <c r="BA746" s="129"/>
      <c r="BB746" s="129"/>
      <c r="BC746" s="129"/>
      <c r="BD746" s="129"/>
      <c r="BE746" s="130"/>
    </row>
    <row r="747" spans="1:57" s="48" customFormat="1" ht="15.75" customHeight="1" x14ac:dyDescent="0.2">
      <c r="A747" s="663"/>
      <c r="B747" s="648"/>
      <c r="C747" s="678"/>
      <c r="D747" s="189">
        <v>2023</v>
      </c>
      <c r="E747" s="188">
        <f t="shared" si="320"/>
        <v>7.0000000000000007E-2</v>
      </c>
      <c r="F747" s="188">
        <f>70/1000</f>
        <v>7.0000000000000007E-2</v>
      </c>
      <c r="G747" s="188">
        <v>0</v>
      </c>
      <c r="H747" s="188">
        <v>0</v>
      </c>
      <c r="I747" s="188">
        <v>0</v>
      </c>
      <c r="J747" s="188">
        <v>0</v>
      </c>
      <c r="K747" s="261">
        <f t="shared" si="315"/>
        <v>7.0000000000000007E-2</v>
      </c>
      <c r="L747" s="53"/>
      <c r="M747" s="50"/>
      <c r="N747" s="56"/>
      <c r="O747" s="747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6"/>
    </row>
    <row r="748" spans="1:57" s="48" customFormat="1" ht="16.5" customHeight="1" x14ac:dyDescent="0.2">
      <c r="A748" s="663"/>
      <c r="B748" s="648"/>
      <c r="C748" s="678"/>
      <c r="D748" s="189">
        <v>2024</v>
      </c>
      <c r="E748" s="188">
        <f t="shared" si="320"/>
        <v>7.1800000000000003E-2</v>
      </c>
      <c r="F748" s="188">
        <f>71.8/1000</f>
        <v>7.1800000000000003E-2</v>
      </c>
      <c r="G748" s="188">
        <v>0</v>
      </c>
      <c r="H748" s="188">
        <v>0</v>
      </c>
      <c r="I748" s="188">
        <v>0</v>
      </c>
      <c r="J748" s="188">
        <v>0</v>
      </c>
      <c r="K748" s="261">
        <f t="shared" si="315"/>
        <v>7.1800000000000003E-2</v>
      </c>
      <c r="L748" s="53"/>
      <c r="M748" s="50"/>
      <c r="N748" s="56"/>
      <c r="O748" s="747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6"/>
    </row>
    <row r="749" spans="1:57" s="48" customFormat="1" ht="15.75" customHeight="1" x14ac:dyDescent="0.2">
      <c r="A749" s="663"/>
      <c r="B749" s="648"/>
      <c r="C749" s="678"/>
      <c r="D749" s="189">
        <v>2025</v>
      </c>
      <c r="E749" s="188">
        <f t="shared" si="320"/>
        <v>7.3669999999999999E-2</v>
      </c>
      <c r="F749" s="188">
        <f>73.67/1000</f>
        <v>7.3669999999999999E-2</v>
      </c>
      <c r="G749" s="188">
        <v>0</v>
      </c>
      <c r="H749" s="188">
        <v>0</v>
      </c>
      <c r="I749" s="188">
        <v>0</v>
      </c>
      <c r="J749" s="188">
        <v>0</v>
      </c>
      <c r="K749" s="261">
        <f t="shared" si="315"/>
        <v>7.3669999999999999E-2</v>
      </c>
      <c r="L749" s="53"/>
      <c r="M749" s="50"/>
      <c r="N749" s="56"/>
      <c r="O749" s="747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6"/>
    </row>
    <row r="750" spans="1:57" s="48" customFormat="1" ht="19.5" customHeight="1" x14ac:dyDescent="0.2">
      <c r="A750" s="663"/>
      <c r="B750" s="648"/>
      <c r="C750" s="631" t="s">
        <v>917</v>
      </c>
      <c r="D750" s="189">
        <v>2026</v>
      </c>
      <c r="E750" s="188">
        <f t="shared" si="320"/>
        <v>7.6616799999999999E-2</v>
      </c>
      <c r="F750" s="188">
        <f>F749*1.04</f>
        <v>7.6616799999999999E-2</v>
      </c>
      <c r="G750" s="188">
        <v>0</v>
      </c>
      <c r="H750" s="188">
        <v>0</v>
      </c>
      <c r="I750" s="188">
        <v>0</v>
      </c>
      <c r="J750" s="188">
        <v>0</v>
      </c>
      <c r="K750" s="261">
        <f t="shared" si="315"/>
        <v>7.6616799999999999E-2</v>
      </c>
      <c r="L750" s="53"/>
      <c r="M750" s="50"/>
      <c r="N750" s="56"/>
      <c r="O750" s="747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6"/>
    </row>
    <row r="751" spans="1:57" s="48" customFormat="1" ht="19.5" customHeight="1" x14ac:dyDescent="0.2">
      <c r="A751" s="663"/>
      <c r="B751" s="648"/>
      <c r="C751" s="648"/>
      <c r="D751" s="189">
        <v>2027</v>
      </c>
      <c r="E751" s="188">
        <f t="shared" si="320"/>
        <v>7.9681472000000003E-2</v>
      </c>
      <c r="F751" s="188">
        <f>F750*1.04</f>
        <v>7.9681472000000003E-2</v>
      </c>
      <c r="G751" s="188">
        <v>0</v>
      </c>
      <c r="H751" s="188">
        <v>0</v>
      </c>
      <c r="I751" s="188">
        <v>0</v>
      </c>
      <c r="J751" s="188">
        <v>0</v>
      </c>
      <c r="K751" s="261">
        <f t="shared" si="315"/>
        <v>7.9681472000000003E-2</v>
      </c>
      <c r="L751" s="53"/>
      <c r="M751" s="50"/>
      <c r="N751" s="56"/>
      <c r="O751" s="747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6"/>
    </row>
    <row r="752" spans="1:57" s="48" customFormat="1" ht="19.5" customHeight="1" x14ac:dyDescent="0.2">
      <c r="A752" s="663"/>
      <c r="B752" s="648"/>
      <c r="C752" s="648"/>
      <c r="D752" s="189">
        <v>2028</v>
      </c>
      <c r="E752" s="188">
        <f t="shared" si="320"/>
        <v>8.2868730880000005E-2</v>
      </c>
      <c r="F752" s="188">
        <f>F751*1.04</f>
        <v>8.2868730880000005E-2</v>
      </c>
      <c r="G752" s="188">
        <v>0</v>
      </c>
      <c r="H752" s="188">
        <v>0</v>
      </c>
      <c r="I752" s="188">
        <v>0</v>
      </c>
      <c r="J752" s="188">
        <v>0</v>
      </c>
      <c r="K752" s="261">
        <f t="shared" si="315"/>
        <v>8.2868730880000005E-2</v>
      </c>
      <c r="L752" s="53"/>
      <c r="M752" s="50"/>
      <c r="N752" s="56"/>
      <c r="O752" s="747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6"/>
    </row>
    <row r="753" spans="1:57" s="48" customFormat="1" ht="19.5" customHeight="1" x14ac:dyDescent="0.2">
      <c r="A753" s="663"/>
      <c r="B753" s="648"/>
      <c r="C753" s="648"/>
      <c r="D753" s="189">
        <v>2029</v>
      </c>
      <c r="E753" s="188">
        <f t="shared" si="320"/>
        <v>8.6183480115200009E-2</v>
      </c>
      <c r="F753" s="188">
        <f>F752*1.04</f>
        <v>8.6183480115200009E-2</v>
      </c>
      <c r="G753" s="188">
        <v>0</v>
      </c>
      <c r="H753" s="188">
        <v>0</v>
      </c>
      <c r="I753" s="188">
        <v>0</v>
      </c>
      <c r="J753" s="188">
        <v>0</v>
      </c>
      <c r="K753" s="261">
        <f t="shared" si="315"/>
        <v>8.6183480115200009E-2</v>
      </c>
      <c r="L753" s="53"/>
      <c r="M753" s="50"/>
      <c r="N753" s="56"/>
      <c r="O753" s="747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6"/>
    </row>
    <row r="754" spans="1:57" s="48" customFormat="1" ht="19.5" customHeight="1" x14ac:dyDescent="0.2">
      <c r="A754" s="664"/>
      <c r="B754" s="632"/>
      <c r="C754" s="632"/>
      <c r="D754" s="189">
        <v>2030</v>
      </c>
      <c r="E754" s="188">
        <f t="shared" si="320"/>
        <v>8.9630819319808014E-2</v>
      </c>
      <c r="F754" s="188">
        <f>F753*1.04</f>
        <v>8.9630819319808014E-2</v>
      </c>
      <c r="G754" s="188">
        <v>0</v>
      </c>
      <c r="H754" s="188">
        <v>0</v>
      </c>
      <c r="I754" s="188">
        <v>0</v>
      </c>
      <c r="J754" s="188">
        <v>0</v>
      </c>
      <c r="K754" s="261">
        <f t="shared" si="315"/>
        <v>8.9630819319808014E-2</v>
      </c>
      <c r="L754" s="53"/>
      <c r="M754" s="50"/>
      <c r="N754" s="56"/>
      <c r="O754" s="748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6"/>
    </row>
    <row r="755" spans="1:57" s="93" customFormat="1" ht="15.75" x14ac:dyDescent="0.25">
      <c r="A755" s="731" t="s">
        <v>683</v>
      </c>
      <c r="B755" s="783" t="s">
        <v>214</v>
      </c>
      <c r="C755" s="783"/>
      <c r="D755" s="46" t="s">
        <v>198</v>
      </c>
      <c r="E755" s="218">
        <f>E756+E757+E758+E759+E760+E761+E762</f>
        <v>380.53100000000001</v>
      </c>
      <c r="F755" s="321">
        <f t="shared" ref="F755:J755" si="321">F756+F757+F758+F759+F760+F761+F762</f>
        <v>0</v>
      </c>
      <c r="G755" s="321">
        <f t="shared" si="321"/>
        <v>0</v>
      </c>
      <c r="H755" s="321">
        <f t="shared" si="321"/>
        <v>172.71299999999999</v>
      </c>
      <c r="I755" s="321">
        <f t="shared" si="321"/>
        <v>207.81800000000001</v>
      </c>
      <c r="J755" s="321">
        <f t="shared" si="321"/>
        <v>0</v>
      </c>
      <c r="K755" s="261">
        <f t="shared" si="315"/>
        <v>380.53100000000001</v>
      </c>
      <c r="L755" s="218"/>
      <c r="M755" s="218"/>
      <c r="N755" s="64"/>
      <c r="O755" s="49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2"/>
    </row>
    <row r="756" spans="1:57" s="93" customFormat="1" ht="15.75" x14ac:dyDescent="0.25">
      <c r="A756" s="782"/>
      <c r="B756" s="701"/>
      <c r="C756" s="701"/>
      <c r="D756" s="46">
        <v>2019</v>
      </c>
      <c r="E756" s="47">
        <f>E782</f>
        <v>10</v>
      </c>
      <c r="F756" s="47">
        <f t="shared" ref="F756:J756" si="322">F782</f>
        <v>0</v>
      </c>
      <c r="G756" s="47">
        <f t="shared" si="322"/>
        <v>0</v>
      </c>
      <c r="H756" s="47">
        <f t="shared" si="322"/>
        <v>6</v>
      </c>
      <c r="I756" s="47">
        <f t="shared" si="322"/>
        <v>4</v>
      </c>
      <c r="J756" s="47">
        <f t="shared" si="322"/>
        <v>0</v>
      </c>
      <c r="K756" s="261">
        <f t="shared" si="315"/>
        <v>10</v>
      </c>
      <c r="L756" s="218"/>
      <c r="M756" s="218"/>
      <c r="N756" s="64"/>
      <c r="O756" s="49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2"/>
    </row>
    <row r="757" spans="1:57" s="93" customFormat="1" ht="15.75" x14ac:dyDescent="0.25">
      <c r="A757" s="782"/>
      <c r="B757" s="701"/>
      <c r="C757" s="701"/>
      <c r="D757" s="46">
        <v>2020</v>
      </c>
      <c r="E757" s="47">
        <f>E764+E771+E775+E778+E790+E795+E803+E811+E814</f>
        <v>122.922</v>
      </c>
      <c r="F757" s="47">
        <f t="shared" ref="F757:J757" si="323">F764+F771+F775+F778+F790+F795+F803+F811+F814</f>
        <v>0</v>
      </c>
      <c r="G757" s="47">
        <f t="shared" si="323"/>
        <v>0</v>
      </c>
      <c r="H757" s="47">
        <f t="shared" si="323"/>
        <v>40.061</v>
      </c>
      <c r="I757" s="47">
        <f t="shared" si="323"/>
        <v>82.861000000000004</v>
      </c>
      <c r="J757" s="47">
        <f t="shared" si="323"/>
        <v>0</v>
      </c>
      <c r="K757" s="261">
        <f t="shared" si="315"/>
        <v>122.922</v>
      </c>
      <c r="L757" s="218"/>
      <c r="M757" s="218"/>
      <c r="N757" s="64"/>
      <c r="O757" s="49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2"/>
    </row>
    <row r="758" spans="1:57" s="93" customFormat="1" ht="15.75" x14ac:dyDescent="0.25">
      <c r="A758" s="782"/>
      <c r="B758" s="701"/>
      <c r="C758" s="701"/>
      <c r="D758" s="46">
        <v>2021</v>
      </c>
      <c r="E758" s="47">
        <f>E765+E772+E776+E779+E791+E796+E800+E804+E809+E812+E815</f>
        <v>83.195999999999998</v>
      </c>
      <c r="F758" s="47">
        <f t="shared" ref="F758:J758" si="324">F765+F772+F776+F779+F791+F796+F800+F804+F809+F812+F815</f>
        <v>0</v>
      </c>
      <c r="G758" s="47">
        <f t="shared" si="324"/>
        <v>0</v>
      </c>
      <c r="H758" s="47">
        <f t="shared" si="324"/>
        <v>42.477999999999994</v>
      </c>
      <c r="I758" s="47">
        <f t="shared" si="324"/>
        <v>40.717999999999996</v>
      </c>
      <c r="J758" s="47">
        <f t="shared" si="324"/>
        <v>0</v>
      </c>
      <c r="K758" s="261">
        <f t="shared" si="315"/>
        <v>83.195999999999998</v>
      </c>
      <c r="L758" s="218"/>
      <c r="M758" s="218"/>
      <c r="N758" s="64"/>
      <c r="O758" s="49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2"/>
    </row>
    <row r="759" spans="1:57" s="93" customFormat="1" ht="15.75" x14ac:dyDescent="0.25">
      <c r="A759" s="782"/>
      <c r="B759" s="701"/>
      <c r="C759" s="701"/>
      <c r="D759" s="46">
        <v>2022</v>
      </c>
      <c r="E759" s="47">
        <f>E766+E773+E780+E785+E793+E805+E807++E801</f>
        <v>96.412999999999997</v>
      </c>
      <c r="F759" s="47">
        <f t="shared" ref="F759:J759" si="325">F766+F773+F780+F785+F793+F805+F807++F801</f>
        <v>0</v>
      </c>
      <c r="G759" s="47">
        <f t="shared" si="325"/>
        <v>0</v>
      </c>
      <c r="H759" s="47">
        <f t="shared" si="325"/>
        <v>50.173999999999999</v>
      </c>
      <c r="I759" s="47">
        <f t="shared" si="325"/>
        <v>46.238999999999997</v>
      </c>
      <c r="J759" s="47">
        <f t="shared" si="325"/>
        <v>0</v>
      </c>
      <c r="K759" s="261">
        <f t="shared" si="315"/>
        <v>96.412999999999997</v>
      </c>
      <c r="L759" s="218"/>
      <c r="M759" s="218"/>
      <c r="N759" s="64"/>
      <c r="O759" s="49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2"/>
    </row>
    <row r="760" spans="1:57" s="93" customFormat="1" ht="15.75" x14ac:dyDescent="0.25">
      <c r="A760" s="782"/>
      <c r="B760" s="701"/>
      <c r="C760" s="701"/>
      <c r="D760" s="46">
        <v>2023</v>
      </c>
      <c r="E760" s="47">
        <f>E797</f>
        <v>8</v>
      </c>
      <c r="F760" s="47">
        <f t="shared" ref="F760:J760" si="326">F797</f>
        <v>0</v>
      </c>
      <c r="G760" s="47">
        <f t="shared" si="326"/>
        <v>0</v>
      </c>
      <c r="H760" s="47">
        <f t="shared" si="326"/>
        <v>4</v>
      </c>
      <c r="I760" s="47">
        <f t="shared" si="326"/>
        <v>4</v>
      </c>
      <c r="J760" s="47">
        <f t="shared" si="326"/>
        <v>0</v>
      </c>
      <c r="K760" s="261"/>
      <c r="L760" s="321"/>
      <c r="M760" s="321"/>
      <c r="N760" s="64"/>
      <c r="O760" s="49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2"/>
    </row>
    <row r="761" spans="1:57" s="93" customFormat="1" ht="15.75" x14ac:dyDescent="0.25">
      <c r="A761" s="782"/>
      <c r="B761" s="701"/>
      <c r="C761" s="701"/>
      <c r="D761" s="46">
        <v>2026</v>
      </c>
      <c r="E761" s="47">
        <f>E787</f>
        <v>30</v>
      </c>
      <c r="F761" s="47">
        <f t="shared" ref="F761:J761" si="327">F787</f>
        <v>0</v>
      </c>
      <c r="G761" s="47">
        <f t="shared" si="327"/>
        <v>0</v>
      </c>
      <c r="H761" s="47">
        <f t="shared" si="327"/>
        <v>15</v>
      </c>
      <c r="I761" s="47">
        <f t="shared" si="327"/>
        <v>15</v>
      </c>
      <c r="J761" s="47">
        <f t="shared" si="327"/>
        <v>0</v>
      </c>
      <c r="K761" s="261">
        <f t="shared" si="315"/>
        <v>30</v>
      </c>
      <c r="L761" s="218"/>
      <c r="M761" s="218"/>
      <c r="N761" s="64"/>
      <c r="O761" s="49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2"/>
    </row>
    <row r="762" spans="1:57" s="93" customFormat="1" ht="15.75" x14ac:dyDescent="0.25">
      <c r="A762" s="782"/>
      <c r="B762" s="701"/>
      <c r="C762" s="701"/>
      <c r="D762" s="46">
        <v>2030</v>
      </c>
      <c r="E762" s="47">
        <f>E788</f>
        <v>30</v>
      </c>
      <c r="F762" s="47">
        <f t="shared" ref="F762:J762" si="328">F788</f>
        <v>0</v>
      </c>
      <c r="G762" s="47">
        <f t="shared" si="328"/>
        <v>0</v>
      </c>
      <c r="H762" s="47">
        <f t="shared" si="328"/>
        <v>15</v>
      </c>
      <c r="I762" s="47">
        <f t="shared" si="328"/>
        <v>15</v>
      </c>
      <c r="J762" s="47">
        <f t="shared" si="328"/>
        <v>0</v>
      </c>
      <c r="K762" s="261">
        <f t="shared" si="315"/>
        <v>30</v>
      </c>
      <c r="L762" s="218"/>
      <c r="M762" s="218"/>
      <c r="N762" s="64"/>
      <c r="O762" s="49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2"/>
    </row>
    <row r="763" spans="1:57" s="48" customFormat="1" x14ac:dyDescent="0.2">
      <c r="A763" s="675" t="s">
        <v>684</v>
      </c>
      <c r="B763" s="739" t="s">
        <v>510</v>
      </c>
      <c r="C763" s="631" t="s">
        <v>393</v>
      </c>
      <c r="D763" s="46" t="s">
        <v>198</v>
      </c>
      <c r="E763" s="47">
        <f>E764+E765+E766</f>
        <v>99.140999999999991</v>
      </c>
      <c r="F763" s="47">
        <f t="shared" ref="F763:J763" si="329">F764+F765+F766</f>
        <v>0</v>
      </c>
      <c r="G763" s="47">
        <f t="shared" si="329"/>
        <v>0</v>
      </c>
      <c r="H763" s="47">
        <f t="shared" si="329"/>
        <v>27.07</v>
      </c>
      <c r="I763" s="47">
        <f t="shared" si="329"/>
        <v>72.070999999999998</v>
      </c>
      <c r="J763" s="47">
        <f t="shared" si="329"/>
        <v>0</v>
      </c>
      <c r="K763" s="261">
        <f t="shared" si="315"/>
        <v>99.140999999999991</v>
      </c>
      <c r="L763" s="779" t="s">
        <v>472</v>
      </c>
      <c r="M763" s="779">
        <v>65.400000000000006</v>
      </c>
      <c r="N763" s="762">
        <v>10</v>
      </c>
      <c r="O763" s="695" t="s">
        <v>218</v>
      </c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6"/>
    </row>
    <row r="764" spans="1:57" s="48" customFormat="1" x14ac:dyDescent="0.2">
      <c r="A764" s="636"/>
      <c r="B764" s="701"/>
      <c r="C764" s="701"/>
      <c r="D764" s="189">
        <v>2020</v>
      </c>
      <c r="E764" s="188">
        <f t="shared" ref="E764:E769" si="330">F764+G764+H764+I764+J764</f>
        <v>74.19</v>
      </c>
      <c r="F764" s="97">
        <v>0</v>
      </c>
      <c r="G764" s="188">
        <v>0</v>
      </c>
      <c r="H764" s="188">
        <v>14.595000000000001</v>
      </c>
      <c r="I764" s="188">
        <v>59.594999999999999</v>
      </c>
      <c r="J764" s="188">
        <v>0</v>
      </c>
      <c r="K764" s="261">
        <f t="shared" si="315"/>
        <v>74.19</v>
      </c>
      <c r="L764" s="780"/>
      <c r="M764" s="780"/>
      <c r="N764" s="763"/>
      <c r="O764" s="700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6"/>
    </row>
    <row r="765" spans="1:57" s="48" customFormat="1" x14ac:dyDescent="0.2">
      <c r="A765" s="636"/>
      <c r="B765" s="701"/>
      <c r="C765" s="701"/>
      <c r="D765" s="197">
        <v>2021</v>
      </c>
      <c r="E765" s="188">
        <f t="shared" si="330"/>
        <v>17.771999999999998</v>
      </c>
      <c r="F765" s="97">
        <v>0</v>
      </c>
      <c r="G765" s="188">
        <v>0</v>
      </c>
      <c r="H765" s="188">
        <v>8.8859999999999992</v>
      </c>
      <c r="I765" s="188">
        <v>8.8859999999999992</v>
      </c>
      <c r="J765" s="188">
        <v>0</v>
      </c>
      <c r="K765" s="261">
        <f t="shared" si="315"/>
        <v>17.771999999999998</v>
      </c>
      <c r="L765" s="780"/>
      <c r="M765" s="780"/>
      <c r="N765" s="763"/>
      <c r="O765" s="700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6"/>
    </row>
    <row r="766" spans="1:57" s="247" customFormat="1" x14ac:dyDescent="0.2">
      <c r="A766" s="637"/>
      <c r="B766" s="702"/>
      <c r="C766" s="701"/>
      <c r="D766" s="245">
        <v>2022</v>
      </c>
      <c r="E766" s="144">
        <f t="shared" si="330"/>
        <v>7.1790000000000003</v>
      </c>
      <c r="F766" s="98">
        <v>0</v>
      </c>
      <c r="G766" s="144">
        <v>0</v>
      </c>
      <c r="H766" s="144">
        <v>3.589</v>
      </c>
      <c r="I766" s="144">
        <v>3.59</v>
      </c>
      <c r="J766" s="144">
        <v>0</v>
      </c>
      <c r="K766" s="261">
        <f t="shared" si="315"/>
        <v>7.1790000000000003</v>
      </c>
      <c r="L766" s="781"/>
      <c r="M766" s="781"/>
      <c r="N766" s="764"/>
      <c r="O766" s="700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246"/>
    </row>
    <row r="767" spans="1:57" s="247" customFormat="1" ht="51" x14ac:dyDescent="0.2">
      <c r="A767" s="180" t="s">
        <v>685</v>
      </c>
      <c r="B767" s="181" t="s">
        <v>471</v>
      </c>
      <c r="C767" s="701"/>
      <c r="D767" s="197">
        <v>2020</v>
      </c>
      <c r="E767" s="144">
        <f t="shared" si="330"/>
        <v>74.19</v>
      </c>
      <c r="F767" s="98">
        <v>0</v>
      </c>
      <c r="G767" s="144">
        <v>0</v>
      </c>
      <c r="H767" s="144">
        <v>14.595000000000001</v>
      </c>
      <c r="I767" s="144">
        <v>59.594999999999999</v>
      </c>
      <c r="J767" s="144">
        <v>0</v>
      </c>
      <c r="K767" s="261">
        <f t="shared" si="315"/>
        <v>74.19</v>
      </c>
      <c r="L767" s="100"/>
      <c r="M767" s="100"/>
      <c r="N767" s="57">
        <v>2</v>
      </c>
      <c r="O767" s="700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246"/>
    </row>
    <row r="768" spans="1:57" s="48" customFormat="1" ht="25.5" x14ac:dyDescent="0.2">
      <c r="A768" s="182" t="s">
        <v>686</v>
      </c>
      <c r="B768" s="183" t="s">
        <v>486</v>
      </c>
      <c r="C768" s="701"/>
      <c r="D768" s="189">
        <v>2021</v>
      </c>
      <c r="E768" s="188">
        <f t="shared" si="330"/>
        <v>17.771999999999998</v>
      </c>
      <c r="F768" s="97">
        <v>0</v>
      </c>
      <c r="G768" s="188">
        <v>0</v>
      </c>
      <c r="H768" s="188">
        <v>8.8859999999999992</v>
      </c>
      <c r="I768" s="188">
        <v>8.8859999999999992</v>
      </c>
      <c r="J768" s="188">
        <v>0</v>
      </c>
      <c r="K768" s="261">
        <f t="shared" si="315"/>
        <v>17.771999999999998</v>
      </c>
      <c r="L768" s="61"/>
      <c r="M768" s="61"/>
      <c r="N768" s="102">
        <v>5</v>
      </c>
      <c r="O768" s="700"/>
    </row>
    <row r="769" spans="1:57" s="48" customFormat="1" x14ac:dyDescent="0.2">
      <c r="A769" s="182" t="s">
        <v>687</v>
      </c>
      <c r="B769" s="183" t="s">
        <v>473</v>
      </c>
      <c r="C769" s="701"/>
      <c r="D769" s="189">
        <v>2022</v>
      </c>
      <c r="E769" s="188">
        <f t="shared" si="330"/>
        <v>7.1790000000000003</v>
      </c>
      <c r="F769" s="97">
        <v>0</v>
      </c>
      <c r="G769" s="188">
        <v>0</v>
      </c>
      <c r="H769" s="188">
        <v>3.589</v>
      </c>
      <c r="I769" s="188">
        <v>3.59</v>
      </c>
      <c r="J769" s="188">
        <v>0</v>
      </c>
      <c r="K769" s="261">
        <f t="shared" si="315"/>
        <v>7.1790000000000003</v>
      </c>
      <c r="L769" s="61"/>
      <c r="M769" s="61"/>
      <c r="N769" s="102">
        <v>3</v>
      </c>
      <c r="O769" s="700"/>
    </row>
    <row r="770" spans="1:57" s="226" customFormat="1" x14ac:dyDescent="0.2">
      <c r="A770" s="675" t="s">
        <v>688</v>
      </c>
      <c r="B770" s="743" t="s">
        <v>487</v>
      </c>
      <c r="C770" s="701"/>
      <c r="D770" s="59" t="s">
        <v>198</v>
      </c>
      <c r="E770" s="96">
        <f>E771+E772+E773</f>
        <v>37.706000000000003</v>
      </c>
      <c r="F770" s="96">
        <f t="shared" ref="F770:J770" si="331">F771+F772+F773</f>
        <v>0</v>
      </c>
      <c r="G770" s="96">
        <f t="shared" si="331"/>
        <v>0</v>
      </c>
      <c r="H770" s="96">
        <f t="shared" si="331"/>
        <v>18.853000000000002</v>
      </c>
      <c r="I770" s="96">
        <f t="shared" si="331"/>
        <v>18.853000000000002</v>
      </c>
      <c r="J770" s="96">
        <f t="shared" si="331"/>
        <v>0</v>
      </c>
      <c r="K770" s="261">
        <f t="shared" si="315"/>
        <v>37.706000000000003</v>
      </c>
      <c r="L770" s="96" t="s">
        <v>781</v>
      </c>
      <c r="M770" s="96">
        <v>25.9</v>
      </c>
      <c r="N770" s="174">
        <v>5</v>
      </c>
      <c r="O770" s="695" t="s">
        <v>219</v>
      </c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225"/>
    </row>
    <row r="771" spans="1:57" s="48" customFormat="1" x14ac:dyDescent="0.2">
      <c r="A771" s="676"/>
      <c r="B771" s="744"/>
      <c r="C771" s="701"/>
      <c r="D771" s="189">
        <v>2020</v>
      </c>
      <c r="E771" s="188">
        <f t="shared" ref="E771:E780" si="332">F771+G771+H771+I771+J771</f>
        <v>14.596</v>
      </c>
      <c r="F771" s="188">
        <v>0</v>
      </c>
      <c r="G771" s="188">
        <v>0</v>
      </c>
      <c r="H771" s="188">
        <v>7.298</v>
      </c>
      <c r="I771" s="188">
        <v>7.298</v>
      </c>
      <c r="J771" s="188">
        <v>0</v>
      </c>
      <c r="K771" s="261">
        <f t="shared" si="315"/>
        <v>14.596</v>
      </c>
      <c r="L771" s="53"/>
      <c r="M771" s="53"/>
      <c r="N771" s="56"/>
      <c r="O771" s="700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6"/>
    </row>
    <row r="772" spans="1:57" s="48" customFormat="1" x14ac:dyDescent="0.2">
      <c r="A772" s="676"/>
      <c r="B772" s="744"/>
      <c r="C772" s="701"/>
      <c r="D772" s="189">
        <v>2021</v>
      </c>
      <c r="E772" s="188">
        <f t="shared" si="332"/>
        <v>8.07</v>
      </c>
      <c r="F772" s="188">
        <v>0</v>
      </c>
      <c r="G772" s="188">
        <v>0</v>
      </c>
      <c r="H772" s="188">
        <v>4.0350000000000001</v>
      </c>
      <c r="I772" s="188">
        <v>4.0350000000000001</v>
      </c>
      <c r="J772" s="188">
        <v>0</v>
      </c>
      <c r="K772" s="261">
        <f t="shared" si="315"/>
        <v>8.07</v>
      </c>
      <c r="L772" s="53"/>
      <c r="M772" s="53"/>
      <c r="N772" s="56"/>
      <c r="O772" s="696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6"/>
    </row>
    <row r="773" spans="1:57" s="48" customFormat="1" ht="54" customHeight="1" x14ac:dyDescent="0.2">
      <c r="A773" s="677"/>
      <c r="B773" s="745"/>
      <c r="C773" s="701"/>
      <c r="D773" s="189">
        <v>2022</v>
      </c>
      <c r="E773" s="188">
        <f t="shared" si="332"/>
        <v>15.04</v>
      </c>
      <c r="F773" s="188">
        <v>0</v>
      </c>
      <c r="G773" s="188">
        <v>0</v>
      </c>
      <c r="H773" s="188">
        <v>7.52</v>
      </c>
      <c r="I773" s="188">
        <v>7.52</v>
      </c>
      <c r="J773" s="188">
        <v>0</v>
      </c>
      <c r="K773" s="261">
        <f t="shared" si="315"/>
        <v>15.04</v>
      </c>
      <c r="L773" s="53"/>
      <c r="M773" s="53"/>
      <c r="N773" s="56"/>
      <c r="O773" s="14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6"/>
    </row>
    <row r="774" spans="1:57" s="48" customFormat="1" x14ac:dyDescent="0.2">
      <c r="A774" s="675" t="s">
        <v>689</v>
      </c>
      <c r="B774" s="739" t="s">
        <v>508</v>
      </c>
      <c r="C774" s="701"/>
      <c r="D774" s="46" t="s">
        <v>198</v>
      </c>
      <c r="E774" s="47">
        <f>E775+E776</f>
        <v>13</v>
      </c>
      <c r="F774" s="47">
        <f t="shared" ref="F774:J774" si="333">F775+F776</f>
        <v>0</v>
      </c>
      <c r="G774" s="47">
        <f t="shared" si="333"/>
        <v>0</v>
      </c>
      <c r="H774" s="47">
        <f t="shared" si="333"/>
        <v>6.5</v>
      </c>
      <c r="I774" s="47">
        <f t="shared" si="333"/>
        <v>6.5</v>
      </c>
      <c r="J774" s="47">
        <f t="shared" si="333"/>
        <v>0</v>
      </c>
      <c r="K774" s="261">
        <f t="shared" si="315"/>
        <v>13</v>
      </c>
      <c r="L774" s="47" t="s">
        <v>782</v>
      </c>
      <c r="M774" s="47">
        <v>9.6999999999999993</v>
      </c>
      <c r="N774" s="103">
        <v>2</v>
      </c>
      <c r="O774" s="760" t="s">
        <v>220</v>
      </c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6"/>
    </row>
    <row r="775" spans="1:57" s="48" customFormat="1" x14ac:dyDescent="0.2">
      <c r="A775" s="636"/>
      <c r="B775" s="701"/>
      <c r="C775" s="701"/>
      <c r="D775" s="189">
        <v>2020</v>
      </c>
      <c r="E775" s="188">
        <f t="shared" si="332"/>
        <v>6.5</v>
      </c>
      <c r="F775" s="188">
        <v>0</v>
      </c>
      <c r="G775" s="188">
        <v>0</v>
      </c>
      <c r="H775" s="188">
        <v>3.25</v>
      </c>
      <c r="I775" s="188">
        <v>3.25</v>
      </c>
      <c r="J775" s="188">
        <v>0</v>
      </c>
      <c r="K775" s="261">
        <f t="shared" si="315"/>
        <v>6.5</v>
      </c>
      <c r="L775" s="53"/>
      <c r="M775" s="53"/>
      <c r="N775" s="56"/>
      <c r="O775" s="776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6"/>
    </row>
    <row r="776" spans="1:57" s="48" customFormat="1" x14ac:dyDescent="0.2">
      <c r="A776" s="184"/>
      <c r="B776" s="250"/>
      <c r="C776" s="250"/>
      <c r="D776" s="189">
        <v>2021</v>
      </c>
      <c r="E776" s="188">
        <f t="shared" ref="E776" si="334">F776+G776+H776+I776+J776</f>
        <v>6.5</v>
      </c>
      <c r="F776" s="188">
        <v>0</v>
      </c>
      <c r="G776" s="188">
        <v>0</v>
      </c>
      <c r="H776" s="188">
        <v>3.25</v>
      </c>
      <c r="I776" s="188">
        <v>3.25</v>
      </c>
      <c r="J776" s="188">
        <v>0</v>
      </c>
      <c r="K776" s="261">
        <f t="shared" si="315"/>
        <v>6.5</v>
      </c>
      <c r="L776" s="53"/>
      <c r="M776" s="53"/>
      <c r="N776" s="56"/>
      <c r="O776" s="17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6"/>
    </row>
    <row r="777" spans="1:57" s="48" customFormat="1" x14ac:dyDescent="0.2">
      <c r="A777" s="675" t="s">
        <v>690</v>
      </c>
      <c r="B777" s="743" t="s">
        <v>488</v>
      </c>
      <c r="C777" s="638" t="s">
        <v>393</v>
      </c>
      <c r="D777" s="46" t="s">
        <v>198</v>
      </c>
      <c r="E777" s="47">
        <f>E778+E779+E780</f>
        <v>13.314</v>
      </c>
      <c r="F777" s="47">
        <f t="shared" ref="F777:J777" si="335">F778+F779+F780</f>
        <v>0</v>
      </c>
      <c r="G777" s="47">
        <f t="shared" si="335"/>
        <v>0</v>
      </c>
      <c r="H777" s="47">
        <f t="shared" si="335"/>
        <v>6.657</v>
      </c>
      <c r="I777" s="47">
        <f t="shared" si="335"/>
        <v>6.657</v>
      </c>
      <c r="J777" s="47">
        <f t="shared" si="335"/>
        <v>0</v>
      </c>
      <c r="K777" s="261">
        <f t="shared" si="315"/>
        <v>13.314</v>
      </c>
      <c r="L777" s="47" t="s">
        <v>783</v>
      </c>
      <c r="M777" s="47">
        <v>20.2</v>
      </c>
      <c r="N777" s="103">
        <v>7</v>
      </c>
      <c r="O777" s="760" t="s">
        <v>221</v>
      </c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6"/>
    </row>
    <row r="778" spans="1:57" s="48" customFormat="1" x14ac:dyDescent="0.2">
      <c r="A778" s="676"/>
      <c r="B778" s="744"/>
      <c r="C778" s="639"/>
      <c r="D778" s="189">
        <v>2020</v>
      </c>
      <c r="E778" s="188">
        <f t="shared" si="332"/>
        <v>3.6360000000000001</v>
      </c>
      <c r="F778" s="188">
        <v>0</v>
      </c>
      <c r="G778" s="188">
        <v>0</v>
      </c>
      <c r="H778" s="188">
        <v>1.8180000000000001</v>
      </c>
      <c r="I778" s="188">
        <v>1.8180000000000001</v>
      </c>
      <c r="J778" s="188">
        <v>0</v>
      </c>
      <c r="K778" s="261">
        <f t="shared" si="315"/>
        <v>3.6360000000000001</v>
      </c>
      <c r="L778" s="53"/>
      <c r="M778" s="53"/>
      <c r="N778" s="56"/>
      <c r="O778" s="776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6"/>
    </row>
    <row r="779" spans="1:57" s="48" customFormat="1" x14ac:dyDescent="0.2">
      <c r="A779" s="676"/>
      <c r="B779" s="744"/>
      <c r="C779" s="639"/>
      <c r="D779" s="189">
        <v>2021</v>
      </c>
      <c r="E779" s="188">
        <f t="shared" si="332"/>
        <v>6.1539999999999999</v>
      </c>
      <c r="F779" s="188">
        <v>0</v>
      </c>
      <c r="G779" s="188">
        <v>0</v>
      </c>
      <c r="H779" s="188">
        <v>3.077</v>
      </c>
      <c r="I779" s="188">
        <v>3.077</v>
      </c>
      <c r="J779" s="188">
        <v>0</v>
      </c>
      <c r="K779" s="261">
        <f t="shared" si="315"/>
        <v>6.1539999999999999</v>
      </c>
      <c r="L779" s="53"/>
      <c r="M779" s="53"/>
      <c r="N779" s="56"/>
      <c r="O779" s="777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6"/>
    </row>
    <row r="780" spans="1:57" s="48" customFormat="1" ht="26.25" customHeight="1" x14ac:dyDescent="0.2">
      <c r="A780" s="677"/>
      <c r="B780" s="745"/>
      <c r="C780" s="640"/>
      <c r="D780" s="189">
        <v>2022</v>
      </c>
      <c r="E780" s="188">
        <f t="shared" si="332"/>
        <v>3.524</v>
      </c>
      <c r="F780" s="188">
        <v>0</v>
      </c>
      <c r="G780" s="188">
        <v>0</v>
      </c>
      <c r="H780" s="188">
        <v>1.762</v>
      </c>
      <c r="I780" s="188">
        <v>1.762</v>
      </c>
      <c r="J780" s="188">
        <v>0</v>
      </c>
      <c r="K780" s="261">
        <f t="shared" si="315"/>
        <v>3.524</v>
      </c>
      <c r="L780" s="53"/>
      <c r="M780" s="53"/>
      <c r="N780" s="56"/>
      <c r="O780" s="17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66"/>
    </row>
    <row r="781" spans="1:57" s="48" customFormat="1" x14ac:dyDescent="0.2">
      <c r="A781" s="697" t="s">
        <v>784</v>
      </c>
      <c r="B781" s="705" t="s">
        <v>534</v>
      </c>
      <c r="C781" s="631" t="s">
        <v>223</v>
      </c>
      <c r="D781" s="46" t="s">
        <v>198</v>
      </c>
      <c r="E781" s="47">
        <f>E782+E783</f>
        <v>18</v>
      </c>
      <c r="F781" s="47">
        <f t="shared" ref="F781:J781" si="336">F782+F783</f>
        <v>0</v>
      </c>
      <c r="G781" s="47">
        <f t="shared" si="336"/>
        <v>0</v>
      </c>
      <c r="H781" s="47">
        <f t="shared" si="336"/>
        <v>11</v>
      </c>
      <c r="I781" s="47">
        <f t="shared" si="336"/>
        <v>7</v>
      </c>
      <c r="J781" s="47">
        <f t="shared" si="336"/>
        <v>0</v>
      </c>
      <c r="K781" s="261">
        <f t="shared" si="315"/>
        <v>18</v>
      </c>
      <c r="L781" s="47" t="s">
        <v>535</v>
      </c>
      <c r="M781" s="47">
        <v>8</v>
      </c>
      <c r="N781" s="103">
        <v>5</v>
      </c>
      <c r="O781" s="695" t="s">
        <v>222</v>
      </c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6"/>
    </row>
    <row r="782" spans="1:57" s="48" customFormat="1" x14ac:dyDescent="0.2">
      <c r="A782" s="698"/>
      <c r="B782" s="735"/>
      <c r="C782" s="701"/>
      <c r="D782" s="189">
        <v>2019</v>
      </c>
      <c r="E782" s="188">
        <f>F782+G782+H782+I782+J782</f>
        <v>10</v>
      </c>
      <c r="F782" s="188">
        <v>0</v>
      </c>
      <c r="G782" s="188">
        <v>0</v>
      </c>
      <c r="H782" s="188">
        <v>6</v>
      </c>
      <c r="I782" s="188">
        <v>4</v>
      </c>
      <c r="J782" s="188">
        <v>0</v>
      </c>
      <c r="K782" s="261">
        <f t="shared" si="315"/>
        <v>10</v>
      </c>
      <c r="L782" s="53"/>
      <c r="M782" s="53"/>
      <c r="N782" s="56"/>
      <c r="O782" s="700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  <c r="BC782" s="65"/>
      <c r="BD782" s="65"/>
      <c r="BE782" s="66"/>
    </row>
    <row r="783" spans="1:57" s="48" customFormat="1" ht="80.25" customHeight="1" x14ac:dyDescent="0.2">
      <c r="A783" s="699"/>
      <c r="B783" s="770"/>
      <c r="C783" s="702"/>
      <c r="D783" s="189">
        <v>2020</v>
      </c>
      <c r="E783" s="188">
        <f>F783+G783+H783+I783+J783</f>
        <v>8</v>
      </c>
      <c r="F783" s="188">
        <v>0</v>
      </c>
      <c r="G783" s="188">
        <v>0</v>
      </c>
      <c r="H783" s="188">
        <v>5</v>
      </c>
      <c r="I783" s="188">
        <v>3</v>
      </c>
      <c r="J783" s="188">
        <v>0</v>
      </c>
      <c r="K783" s="261">
        <f t="shared" si="315"/>
        <v>8</v>
      </c>
      <c r="L783" s="104"/>
      <c r="M783" s="104"/>
      <c r="N783" s="99"/>
      <c r="O783" s="696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66"/>
    </row>
    <row r="784" spans="1:57" s="226" customFormat="1" x14ac:dyDescent="0.2">
      <c r="A784" s="675" t="s">
        <v>691</v>
      </c>
      <c r="B784" s="631" t="s">
        <v>514</v>
      </c>
      <c r="C784" s="631" t="s">
        <v>393</v>
      </c>
      <c r="D784" s="46" t="s">
        <v>198</v>
      </c>
      <c r="E784" s="47">
        <f t="shared" ref="E784:I784" si="337">E785</f>
        <v>20</v>
      </c>
      <c r="F784" s="47">
        <f t="shared" si="337"/>
        <v>0</v>
      </c>
      <c r="G784" s="47">
        <f t="shared" si="337"/>
        <v>0</v>
      </c>
      <c r="H784" s="47">
        <f t="shared" si="337"/>
        <v>10</v>
      </c>
      <c r="I784" s="47">
        <f t="shared" si="337"/>
        <v>10</v>
      </c>
      <c r="J784" s="188">
        <v>0</v>
      </c>
      <c r="K784" s="261">
        <f t="shared" ref="K784:K847" si="338">F784+G784+H784+I784+J784</f>
        <v>20</v>
      </c>
      <c r="L784" s="81" t="s">
        <v>517</v>
      </c>
      <c r="M784" s="81">
        <v>6</v>
      </c>
      <c r="N784" s="105">
        <v>5</v>
      </c>
      <c r="O784" s="746" t="s">
        <v>525</v>
      </c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225"/>
    </row>
    <row r="785" spans="1:57" s="226" customFormat="1" x14ac:dyDescent="0.2">
      <c r="A785" s="677"/>
      <c r="B785" s="632"/>
      <c r="C785" s="648"/>
      <c r="D785" s="189">
        <v>2022</v>
      </c>
      <c r="E785" s="188">
        <f>F785+G785+H785+I785+J785</f>
        <v>20</v>
      </c>
      <c r="F785" s="188">
        <v>0</v>
      </c>
      <c r="G785" s="188">
        <v>0</v>
      </c>
      <c r="H785" s="188">
        <v>10</v>
      </c>
      <c r="I785" s="188">
        <v>10</v>
      </c>
      <c r="J785" s="188">
        <v>0</v>
      </c>
      <c r="K785" s="261">
        <f t="shared" si="338"/>
        <v>20</v>
      </c>
      <c r="L785" s="81"/>
      <c r="M785" s="81"/>
      <c r="N785" s="82"/>
      <c r="O785" s="726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225"/>
    </row>
    <row r="786" spans="1:57" s="226" customFormat="1" x14ac:dyDescent="0.2">
      <c r="A786" s="675" t="s">
        <v>692</v>
      </c>
      <c r="B786" s="631" t="s">
        <v>536</v>
      </c>
      <c r="C786" s="648"/>
      <c r="D786" s="46" t="s">
        <v>198</v>
      </c>
      <c r="E786" s="47">
        <f>E787+E788</f>
        <v>60</v>
      </c>
      <c r="F786" s="47">
        <f t="shared" ref="F786:I786" si="339">F787+F788</f>
        <v>0</v>
      </c>
      <c r="G786" s="47">
        <f t="shared" si="339"/>
        <v>0</v>
      </c>
      <c r="H786" s="47">
        <f t="shared" si="339"/>
        <v>30</v>
      </c>
      <c r="I786" s="47">
        <f t="shared" si="339"/>
        <v>30</v>
      </c>
      <c r="J786" s="188">
        <v>0</v>
      </c>
      <c r="K786" s="261">
        <f t="shared" si="338"/>
        <v>60</v>
      </c>
      <c r="L786" s="81" t="s">
        <v>224</v>
      </c>
      <c r="M786" s="81">
        <v>5</v>
      </c>
      <c r="N786" s="82"/>
      <c r="O786" s="760" t="s">
        <v>526</v>
      </c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225"/>
    </row>
    <row r="787" spans="1:57" s="226" customFormat="1" x14ac:dyDescent="0.2">
      <c r="A787" s="676"/>
      <c r="B787" s="648"/>
      <c r="C787" s="648"/>
      <c r="D787" s="189">
        <v>2026</v>
      </c>
      <c r="E787" s="188">
        <f>F787+G787+H787+I787+J787</f>
        <v>30</v>
      </c>
      <c r="F787" s="188">
        <v>0</v>
      </c>
      <c r="G787" s="188">
        <v>0</v>
      </c>
      <c r="H787" s="188">
        <v>15</v>
      </c>
      <c r="I787" s="188">
        <v>15</v>
      </c>
      <c r="J787" s="188">
        <v>0</v>
      </c>
      <c r="K787" s="261">
        <f t="shared" si="338"/>
        <v>30</v>
      </c>
      <c r="L787" s="81"/>
      <c r="M787" s="81"/>
      <c r="N787" s="82"/>
      <c r="O787" s="776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225"/>
    </row>
    <row r="788" spans="1:57" s="226" customFormat="1" ht="38.25" customHeight="1" x14ac:dyDescent="0.2">
      <c r="A788" s="677"/>
      <c r="B788" s="632"/>
      <c r="C788" s="648"/>
      <c r="D788" s="189">
        <v>2030</v>
      </c>
      <c r="E788" s="188">
        <f t="shared" ref="E788" si="340">F788+G788+H788+I788+J788</f>
        <v>30</v>
      </c>
      <c r="F788" s="188">
        <v>0</v>
      </c>
      <c r="G788" s="188">
        <v>0</v>
      </c>
      <c r="H788" s="188">
        <v>15</v>
      </c>
      <c r="I788" s="188">
        <v>15</v>
      </c>
      <c r="J788" s="188">
        <v>0</v>
      </c>
      <c r="K788" s="261">
        <f t="shared" si="338"/>
        <v>30</v>
      </c>
      <c r="L788" s="81"/>
      <c r="M788" s="81"/>
      <c r="N788" s="82"/>
      <c r="O788" s="777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225"/>
    </row>
    <row r="789" spans="1:57" s="226" customFormat="1" x14ac:dyDescent="0.2">
      <c r="A789" s="675" t="s">
        <v>693</v>
      </c>
      <c r="B789" s="631" t="s">
        <v>597</v>
      </c>
      <c r="C789" s="648"/>
      <c r="D789" s="46" t="s">
        <v>198</v>
      </c>
      <c r="E789" s="47">
        <f>E790+E791</f>
        <v>8</v>
      </c>
      <c r="F789" s="47">
        <f t="shared" ref="F789:I789" si="341">F790+F791</f>
        <v>0</v>
      </c>
      <c r="G789" s="47">
        <f t="shared" si="341"/>
        <v>0</v>
      </c>
      <c r="H789" s="47">
        <f t="shared" si="341"/>
        <v>4</v>
      </c>
      <c r="I789" s="47">
        <f t="shared" si="341"/>
        <v>4</v>
      </c>
      <c r="J789" s="188">
        <v>0</v>
      </c>
      <c r="K789" s="261">
        <f t="shared" si="338"/>
        <v>8</v>
      </c>
      <c r="L789" s="82" t="s">
        <v>522</v>
      </c>
      <c r="M789" s="81">
        <v>2.4</v>
      </c>
      <c r="N789" s="82"/>
      <c r="O789" s="760" t="s">
        <v>527</v>
      </c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225"/>
    </row>
    <row r="790" spans="1:57" s="226" customFormat="1" x14ac:dyDescent="0.2">
      <c r="A790" s="676"/>
      <c r="B790" s="701"/>
      <c r="C790" s="648"/>
      <c r="D790" s="189">
        <v>2020</v>
      </c>
      <c r="E790" s="188">
        <f>F790+G790+H790+I790+J790</f>
        <v>4</v>
      </c>
      <c r="F790" s="188">
        <v>0</v>
      </c>
      <c r="G790" s="188">
        <v>0</v>
      </c>
      <c r="H790" s="188">
        <v>2</v>
      </c>
      <c r="I790" s="188">
        <v>2</v>
      </c>
      <c r="J790" s="188">
        <v>0</v>
      </c>
      <c r="K790" s="261">
        <f t="shared" si="338"/>
        <v>4</v>
      </c>
      <c r="L790" s="81"/>
      <c r="M790" s="81"/>
      <c r="N790" s="82"/>
      <c r="O790" s="776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225"/>
    </row>
    <row r="791" spans="1:57" s="226" customFormat="1" ht="30.75" customHeight="1" x14ac:dyDescent="0.2">
      <c r="A791" s="677"/>
      <c r="B791" s="702"/>
      <c r="C791" s="648"/>
      <c r="D791" s="189">
        <v>2021</v>
      </c>
      <c r="E791" s="188">
        <f>F791+G791+H791+I791+J791</f>
        <v>4</v>
      </c>
      <c r="F791" s="188">
        <v>0</v>
      </c>
      <c r="G791" s="188">
        <v>0</v>
      </c>
      <c r="H791" s="188">
        <v>2</v>
      </c>
      <c r="I791" s="188">
        <v>2</v>
      </c>
      <c r="J791" s="188">
        <v>0</v>
      </c>
      <c r="K791" s="261">
        <f t="shared" si="338"/>
        <v>4</v>
      </c>
      <c r="L791" s="81"/>
      <c r="M791" s="81"/>
      <c r="N791" s="82"/>
      <c r="O791" s="777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225"/>
    </row>
    <row r="792" spans="1:57" s="226" customFormat="1" x14ac:dyDescent="0.2">
      <c r="A792" s="675" t="s">
        <v>694</v>
      </c>
      <c r="B792" s="631" t="s">
        <v>537</v>
      </c>
      <c r="C792" s="648"/>
      <c r="D792" s="46" t="s">
        <v>198</v>
      </c>
      <c r="E792" s="47">
        <f>E793</f>
        <v>35</v>
      </c>
      <c r="F792" s="47">
        <f t="shared" ref="F792:I792" si="342">F793</f>
        <v>0</v>
      </c>
      <c r="G792" s="47">
        <f t="shared" si="342"/>
        <v>0</v>
      </c>
      <c r="H792" s="47">
        <f t="shared" si="342"/>
        <v>16.5</v>
      </c>
      <c r="I792" s="47">
        <f t="shared" si="342"/>
        <v>18.5</v>
      </c>
      <c r="J792" s="188">
        <v>0</v>
      </c>
      <c r="K792" s="261">
        <f t="shared" si="338"/>
        <v>35</v>
      </c>
      <c r="L792" s="81" t="s">
        <v>518</v>
      </c>
      <c r="M792" s="81">
        <v>10.5</v>
      </c>
      <c r="N792" s="82"/>
      <c r="O792" s="760" t="s">
        <v>219</v>
      </c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225"/>
    </row>
    <row r="793" spans="1:57" s="226" customFormat="1" ht="27" customHeight="1" x14ac:dyDescent="0.2">
      <c r="A793" s="677"/>
      <c r="B793" s="702"/>
      <c r="C793" s="648"/>
      <c r="D793" s="189">
        <v>2022</v>
      </c>
      <c r="E793" s="188">
        <f>F793+G793+H793+I793+J793</f>
        <v>35</v>
      </c>
      <c r="F793" s="188">
        <v>0</v>
      </c>
      <c r="G793" s="188">
        <v>0</v>
      </c>
      <c r="H793" s="188">
        <v>16.5</v>
      </c>
      <c r="I793" s="188">
        <v>18.5</v>
      </c>
      <c r="J793" s="188">
        <v>0</v>
      </c>
      <c r="K793" s="261">
        <f t="shared" si="338"/>
        <v>35</v>
      </c>
      <c r="L793" s="81"/>
      <c r="M793" s="81"/>
      <c r="N793" s="82">
        <v>3</v>
      </c>
      <c r="O793" s="726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225"/>
    </row>
    <row r="794" spans="1:57" s="226" customFormat="1" x14ac:dyDescent="0.2">
      <c r="A794" s="675" t="s">
        <v>785</v>
      </c>
      <c r="B794" s="631" t="s">
        <v>515</v>
      </c>
      <c r="C794" s="701"/>
      <c r="D794" s="46" t="s">
        <v>198</v>
      </c>
      <c r="E794" s="47">
        <f t="shared" ref="E794:I794" si="343">E795+E796+E797</f>
        <v>26</v>
      </c>
      <c r="F794" s="188">
        <f t="shared" si="343"/>
        <v>0</v>
      </c>
      <c r="G794" s="47">
        <f t="shared" si="343"/>
        <v>0</v>
      </c>
      <c r="H794" s="47">
        <f t="shared" si="343"/>
        <v>13</v>
      </c>
      <c r="I794" s="47">
        <f t="shared" si="343"/>
        <v>13</v>
      </c>
      <c r="J794" s="188">
        <v>0</v>
      </c>
      <c r="K794" s="261">
        <f t="shared" si="338"/>
        <v>26</v>
      </c>
      <c r="L794" s="81" t="s">
        <v>522</v>
      </c>
      <c r="M794" s="81">
        <v>15</v>
      </c>
      <c r="N794" s="82">
        <v>2</v>
      </c>
      <c r="O794" s="695" t="s">
        <v>219</v>
      </c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  <c r="BC794" s="65"/>
      <c r="BD794" s="65"/>
      <c r="BE794" s="225"/>
    </row>
    <row r="795" spans="1:57" s="226" customFormat="1" x14ac:dyDescent="0.2">
      <c r="A795" s="676"/>
      <c r="B795" s="648"/>
      <c r="C795" s="701"/>
      <c r="D795" s="189">
        <v>2020</v>
      </c>
      <c r="E795" s="188">
        <f>F795+G795+H795+I795+J795</f>
        <v>9</v>
      </c>
      <c r="F795" s="188">
        <v>0</v>
      </c>
      <c r="G795" s="188">
        <v>0</v>
      </c>
      <c r="H795" s="188">
        <v>4.5</v>
      </c>
      <c r="I795" s="188">
        <v>4.5</v>
      </c>
      <c r="J795" s="188">
        <v>0</v>
      </c>
      <c r="K795" s="261">
        <f t="shared" si="338"/>
        <v>9</v>
      </c>
      <c r="L795" s="81"/>
      <c r="M795" s="81"/>
      <c r="N795" s="82"/>
      <c r="O795" s="717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225"/>
    </row>
    <row r="796" spans="1:57" s="226" customFormat="1" x14ac:dyDescent="0.2">
      <c r="A796" s="676"/>
      <c r="B796" s="648"/>
      <c r="C796" s="701"/>
      <c r="D796" s="189">
        <v>2021</v>
      </c>
      <c r="E796" s="188">
        <f>F796+G796+H796+I796+J796</f>
        <v>9</v>
      </c>
      <c r="F796" s="188">
        <v>0</v>
      </c>
      <c r="G796" s="188">
        <v>0</v>
      </c>
      <c r="H796" s="188">
        <v>4.5</v>
      </c>
      <c r="I796" s="188">
        <v>4.5</v>
      </c>
      <c r="J796" s="188">
        <v>0</v>
      </c>
      <c r="K796" s="261">
        <f t="shared" si="338"/>
        <v>9</v>
      </c>
      <c r="L796" s="81"/>
      <c r="M796" s="81"/>
      <c r="N796" s="82"/>
      <c r="O796" s="717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  <c r="BC796" s="65"/>
      <c r="BD796" s="65"/>
      <c r="BE796" s="225"/>
    </row>
    <row r="797" spans="1:57" s="226" customFormat="1" x14ac:dyDescent="0.2">
      <c r="A797" s="677"/>
      <c r="B797" s="632"/>
      <c r="C797" s="701"/>
      <c r="D797" s="189">
        <v>2023</v>
      </c>
      <c r="E797" s="188">
        <f>F797+G797+H797+I797+J797</f>
        <v>8</v>
      </c>
      <c r="F797" s="188">
        <v>0</v>
      </c>
      <c r="G797" s="188">
        <v>0</v>
      </c>
      <c r="H797" s="188">
        <v>4</v>
      </c>
      <c r="I797" s="188">
        <v>4</v>
      </c>
      <c r="J797" s="188">
        <v>0</v>
      </c>
      <c r="K797" s="261">
        <f t="shared" si="338"/>
        <v>8</v>
      </c>
      <c r="L797" s="81"/>
      <c r="M797" s="81"/>
      <c r="N797" s="82"/>
      <c r="O797" s="717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  <c r="BC797" s="65"/>
      <c r="BD797" s="65"/>
      <c r="BE797" s="225"/>
    </row>
    <row r="798" spans="1:57" s="226" customFormat="1" x14ac:dyDescent="0.2">
      <c r="A798" s="675" t="s">
        <v>787</v>
      </c>
      <c r="B798" s="631" t="s">
        <v>786</v>
      </c>
      <c r="C798" s="701"/>
      <c r="D798" s="46" t="s">
        <v>198</v>
      </c>
      <c r="E798" s="47">
        <f t="shared" ref="E798:I798" si="344">E799+E800+E801</f>
        <v>14</v>
      </c>
      <c r="F798" s="188">
        <f t="shared" si="344"/>
        <v>0</v>
      </c>
      <c r="G798" s="47">
        <f t="shared" si="344"/>
        <v>0</v>
      </c>
      <c r="H798" s="47">
        <f t="shared" si="344"/>
        <v>7</v>
      </c>
      <c r="I798" s="47">
        <f t="shared" si="344"/>
        <v>7</v>
      </c>
      <c r="J798" s="188">
        <v>0</v>
      </c>
      <c r="K798" s="261">
        <f t="shared" si="338"/>
        <v>14</v>
      </c>
      <c r="L798" s="81" t="s">
        <v>472</v>
      </c>
      <c r="M798" s="81">
        <v>4.2</v>
      </c>
      <c r="N798" s="82">
        <v>4</v>
      </c>
      <c r="O798" s="767" t="s">
        <v>528</v>
      </c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  <c r="BC798" s="65"/>
      <c r="BD798" s="65"/>
      <c r="BE798" s="225"/>
    </row>
    <row r="799" spans="1:57" s="226" customFormat="1" x14ac:dyDescent="0.2">
      <c r="A799" s="676"/>
      <c r="B799" s="648"/>
      <c r="C799" s="701"/>
      <c r="D799" s="189">
        <v>2020</v>
      </c>
      <c r="E799" s="188">
        <f>F799+G799+H799+I799+J799</f>
        <v>4</v>
      </c>
      <c r="F799" s="188">
        <v>0</v>
      </c>
      <c r="G799" s="188">
        <v>0</v>
      </c>
      <c r="H799" s="188">
        <v>2</v>
      </c>
      <c r="I799" s="188">
        <v>2</v>
      </c>
      <c r="J799" s="188">
        <v>0</v>
      </c>
      <c r="K799" s="261">
        <f t="shared" si="338"/>
        <v>4</v>
      </c>
      <c r="L799" s="81"/>
      <c r="M799" s="81"/>
      <c r="N799" s="82"/>
      <c r="O799" s="72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  <c r="BC799" s="65"/>
      <c r="BD799" s="65"/>
      <c r="BE799" s="225"/>
    </row>
    <row r="800" spans="1:57" s="226" customFormat="1" x14ac:dyDescent="0.2">
      <c r="A800" s="676"/>
      <c r="B800" s="648"/>
      <c r="C800" s="701"/>
      <c r="D800" s="189">
        <v>2021</v>
      </c>
      <c r="E800" s="188">
        <f>F800+G800+H800+I800+J800</f>
        <v>6</v>
      </c>
      <c r="F800" s="188">
        <v>0</v>
      </c>
      <c r="G800" s="188">
        <v>0</v>
      </c>
      <c r="H800" s="188">
        <v>3</v>
      </c>
      <c r="I800" s="188">
        <v>3</v>
      </c>
      <c r="J800" s="188">
        <v>0</v>
      </c>
      <c r="K800" s="261">
        <f t="shared" si="338"/>
        <v>6</v>
      </c>
      <c r="L800" s="81"/>
      <c r="M800" s="81"/>
      <c r="N800" s="82"/>
      <c r="O800" s="72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  <c r="BC800" s="65"/>
      <c r="BD800" s="65"/>
      <c r="BE800" s="225"/>
    </row>
    <row r="801" spans="1:57" s="226" customFormat="1" x14ac:dyDescent="0.2">
      <c r="A801" s="677"/>
      <c r="B801" s="632"/>
      <c r="C801" s="701"/>
      <c r="D801" s="189">
        <v>2022</v>
      </c>
      <c r="E801" s="188">
        <f>F801+G801+H801+I801+J801</f>
        <v>4</v>
      </c>
      <c r="F801" s="188">
        <v>0</v>
      </c>
      <c r="G801" s="188">
        <v>0</v>
      </c>
      <c r="H801" s="188">
        <v>2</v>
      </c>
      <c r="I801" s="188">
        <v>2</v>
      </c>
      <c r="J801" s="188">
        <v>0</v>
      </c>
      <c r="K801" s="261">
        <f t="shared" si="338"/>
        <v>4</v>
      </c>
      <c r="L801" s="81"/>
      <c r="M801" s="81"/>
      <c r="N801" s="82"/>
      <c r="O801" s="726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  <c r="BC801" s="65"/>
      <c r="BD801" s="65"/>
      <c r="BE801" s="225"/>
    </row>
    <row r="802" spans="1:57" s="226" customFormat="1" x14ac:dyDescent="0.2">
      <c r="A802" s="675" t="s">
        <v>788</v>
      </c>
      <c r="B802" s="638" t="s">
        <v>524</v>
      </c>
      <c r="C802" s="701"/>
      <c r="D802" s="46" t="s">
        <v>198</v>
      </c>
      <c r="E802" s="47">
        <f>E803+E804+E805</f>
        <v>14.370000000000001</v>
      </c>
      <c r="F802" s="47">
        <f t="shared" ref="F802:J802" si="345">F803+F804+F805</f>
        <v>0</v>
      </c>
      <c r="G802" s="47">
        <f t="shared" si="345"/>
        <v>0</v>
      </c>
      <c r="H802" s="47">
        <f t="shared" si="345"/>
        <v>12.132999999999999</v>
      </c>
      <c r="I802" s="47">
        <f t="shared" si="345"/>
        <v>2.2370000000000001</v>
      </c>
      <c r="J802" s="47">
        <f t="shared" si="345"/>
        <v>0</v>
      </c>
      <c r="K802" s="261">
        <f t="shared" si="338"/>
        <v>14.37</v>
      </c>
      <c r="L802" s="81" t="s">
        <v>519</v>
      </c>
      <c r="M802" s="81">
        <v>2.1</v>
      </c>
      <c r="N802" s="82">
        <v>2</v>
      </c>
      <c r="O802" s="769" t="s">
        <v>529</v>
      </c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  <c r="BC802" s="65"/>
      <c r="BD802" s="65"/>
      <c r="BE802" s="225"/>
    </row>
    <row r="803" spans="1:57" s="226" customFormat="1" x14ac:dyDescent="0.2">
      <c r="A803" s="676"/>
      <c r="B803" s="639"/>
      <c r="C803" s="701"/>
      <c r="D803" s="189">
        <v>2020</v>
      </c>
      <c r="E803" s="188">
        <f>F803+G803+H803+I803+J803</f>
        <v>3</v>
      </c>
      <c r="F803" s="188">
        <v>0</v>
      </c>
      <c r="G803" s="188">
        <v>0</v>
      </c>
      <c r="H803" s="188">
        <v>2.6</v>
      </c>
      <c r="I803" s="188">
        <v>0.4</v>
      </c>
      <c r="J803" s="188">
        <v>0</v>
      </c>
      <c r="K803" s="261">
        <f t="shared" si="338"/>
        <v>3</v>
      </c>
      <c r="L803" s="81"/>
      <c r="M803" s="81"/>
      <c r="N803" s="82"/>
      <c r="O803" s="770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  <c r="BC803" s="65"/>
      <c r="BD803" s="65"/>
      <c r="BE803" s="225"/>
    </row>
    <row r="804" spans="1:57" s="226" customFormat="1" x14ac:dyDescent="0.2">
      <c r="A804" s="676"/>
      <c r="B804" s="639"/>
      <c r="C804" s="701"/>
      <c r="D804" s="189">
        <v>2021</v>
      </c>
      <c r="E804" s="188">
        <f t="shared" ref="E804:E805" si="346">F804+G804+H804+I804+J804</f>
        <v>3.7</v>
      </c>
      <c r="F804" s="188">
        <v>0</v>
      </c>
      <c r="G804" s="188">
        <v>0</v>
      </c>
      <c r="H804" s="188">
        <v>2.73</v>
      </c>
      <c r="I804" s="188">
        <v>0.97</v>
      </c>
      <c r="J804" s="188">
        <v>0</v>
      </c>
      <c r="K804" s="261">
        <f t="shared" si="338"/>
        <v>3.7</v>
      </c>
      <c r="L804" s="81"/>
      <c r="M804" s="81"/>
      <c r="N804" s="82"/>
      <c r="O804" s="192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  <c r="BC804" s="65"/>
      <c r="BD804" s="65"/>
      <c r="BE804" s="225"/>
    </row>
    <row r="805" spans="1:57" s="226" customFormat="1" x14ac:dyDescent="0.2">
      <c r="A805" s="677"/>
      <c r="B805" s="640"/>
      <c r="C805" s="701"/>
      <c r="D805" s="189">
        <v>2022</v>
      </c>
      <c r="E805" s="188">
        <f t="shared" si="346"/>
        <v>7.67</v>
      </c>
      <c r="F805" s="188">
        <v>0</v>
      </c>
      <c r="G805" s="188">
        <v>0</v>
      </c>
      <c r="H805" s="188">
        <v>6.8029999999999999</v>
      </c>
      <c r="I805" s="188">
        <v>0.86699999999999999</v>
      </c>
      <c r="J805" s="188">
        <v>0</v>
      </c>
      <c r="K805" s="261">
        <f t="shared" si="338"/>
        <v>7.67</v>
      </c>
      <c r="L805" s="81"/>
      <c r="M805" s="81"/>
      <c r="N805" s="82"/>
      <c r="O805" s="192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  <c r="BC805" s="65"/>
      <c r="BD805" s="65"/>
      <c r="BE805" s="225"/>
    </row>
    <row r="806" spans="1:57" s="226" customFormat="1" x14ac:dyDescent="0.2">
      <c r="A806" s="675" t="s">
        <v>789</v>
      </c>
      <c r="B806" s="631" t="s">
        <v>523</v>
      </c>
      <c r="C806" s="701"/>
      <c r="D806" s="46" t="s">
        <v>198</v>
      </c>
      <c r="E806" s="47">
        <f t="shared" ref="E806:I806" si="347">E807</f>
        <v>4</v>
      </c>
      <c r="F806" s="47">
        <f t="shared" si="347"/>
        <v>0</v>
      </c>
      <c r="G806" s="47">
        <f t="shared" si="347"/>
        <v>0</v>
      </c>
      <c r="H806" s="47">
        <f t="shared" si="347"/>
        <v>2</v>
      </c>
      <c r="I806" s="47">
        <f t="shared" si="347"/>
        <v>2</v>
      </c>
      <c r="J806" s="188">
        <v>0</v>
      </c>
      <c r="K806" s="261">
        <f t="shared" si="338"/>
        <v>4</v>
      </c>
      <c r="L806" s="81" t="s">
        <v>520</v>
      </c>
      <c r="M806" s="81">
        <v>1.2</v>
      </c>
      <c r="N806" s="82">
        <v>1</v>
      </c>
      <c r="O806" s="765" t="s">
        <v>530</v>
      </c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225"/>
    </row>
    <row r="807" spans="1:57" s="226" customFormat="1" ht="46.5" customHeight="1" x14ac:dyDescent="0.2">
      <c r="A807" s="677"/>
      <c r="B807" s="632"/>
      <c r="C807" s="701"/>
      <c r="D807" s="189">
        <v>2022</v>
      </c>
      <c r="E807" s="188">
        <f>F807+G807+H807+I807+J807</f>
        <v>4</v>
      </c>
      <c r="F807" s="188">
        <v>0</v>
      </c>
      <c r="G807" s="188">
        <v>0</v>
      </c>
      <c r="H807" s="188">
        <v>2</v>
      </c>
      <c r="I807" s="188">
        <v>2</v>
      </c>
      <c r="J807" s="188">
        <v>0</v>
      </c>
      <c r="K807" s="261">
        <f t="shared" si="338"/>
        <v>4</v>
      </c>
      <c r="L807" s="81"/>
      <c r="M807" s="81"/>
      <c r="N807" s="82"/>
      <c r="O807" s="778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  <c r="BC807" s="65"/>
      <c r="BD807" s="65"/>
      <c r="BE807" s="225"/>
    </row>
    <row r="808" spans="1:57" s="226" customFormat="1" x14ac:dyDescent="0.2">
      <c r="A808" s="675" t="s">
        <v>790</v>
      </c>
      <c r="B808" s="631" t="s">
        <v>532</v>
      </c>
      <c r="C808" s="701"/>
      <c r="D808" s="46" t="s">
        <v>198</v>
      </c>
      <c r="E808" s="47">
        <f t="shared" ref="E808:I808" si="348">E809</f>
        <v>16</v>
      </c>
      <c r="F808" s="47">
        <f t="shared" si="348"/>
        <v>0</v>
      </c>
      <c r="G808" s="47">
        <f t="shared" si="348"/>
        <v>0</v>
      </c>
      <c r="H808" s="47">
        <f t="shared" si="348"/>
        <v>8</v>
      </c>
      <c r="I808" s="47">
        <f t="shared" si="348"/>
        <v>8</v>
      </c>
      <c r="J808" s="188">
        <v>0</v>
      </c>
      <c r="K808" s="261">
        <f t="shared" si="338"/>
        <v>16</v>
      </c>
      <c r="L808" s="81" t="s">
        <v>472</v>
      </c>
      <c r="M808" s="81">
        <v>1.2</v>
      </c>
      <c r="N808" s="82">
        <v>4</v>
      </c>
      <c r="O808" s="765" t="s">
        <v>531</v>
      </c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225"/>
    </row>
    <row r="809" spans="1:57" s="226" customFormat="1" ht="42" customHeight="1" x14ac:dyDescent="0.2">
      <c r="A809" s="677"/>
      <c r="B809" s="632"/>
      <c r="C809" s="701"/>
      <c r="D809" s="189">
        <v>2021</v>
      </c>
      <c r="E809" s="188">
        <f>F809+G809+H809+I809+J809</f>
        <v>16</v>
      </c>
      <c r="F809" s="188">
        <v>0</v>
      </c>
      <c r="G809" s="188">
        <v>0</v>
      </c>
      <c r="H809" s="188">
        <v>8</v>
      </c>
      <c r="I809" s="188">
        <v>8</v>
      </c>
      <c r="J809" s="188">
        <v>0</v>
      </c>
      <c r="K809" s="261">
        <f t="shared" si="338"/>
        <v>16</v>
      </c>
      <c r="L809" s="81"/>
      <c r="M809" s="81"/>
      <c r="N809" s="82"/>
      <c r="O809" s="778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225"/>
    </row>
    <row r="810" spans="1:57" s="226" customFormat="1" x14ac:dyDescent="0.2">
      <c r="A810" s="675" t="s">
        <v>791</v>
      </c>
      <c r="B810" s="631" t="s">
        <v>516</v>
      </c>
      <c r="C810" s="701"/>
      <c r="D810" s="46" t="s">
        <v>198</v>
      </c>
      <c r="E810" s="47">
        <f>E811+E812</f>
        <v>7</v>
      </c>
      <c r="F810" s="47">
        <f t="shared" ref="F810:J810" si="349">F811+F812</f>
        <v>0</v>
      </c>
      <c r="G810" s="47">
        <f t="shared" si="349"/>
        <v>0</v>
      </c>
      <c r="H810" s="47">
        <f t="shared" si="349"/>
        <v>3.5</v>
      </c>
      <c r="I810" s="47">
        <f t="shared" si="349"/>
        <v>3.5</v>
      </c>
      <c r="J810" s="47">
        <f t="shared" si="349"/>
        <v>0</v>
      </c>
      <c r="K810" s="261">
        <f t="shared" si="338"/>
        <v>7</v>
      </c>
      <c r="L810" s="81" t="s">
        <v>521</v>
      </c>
      <c r="M810" s="81">
        <v>2.1</v>
      </c>
      <c r="N810" s="82"/>
      <c r="O810" s="760" t="s">
        <v>538</v>
      </c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  <c r="BC810" s="65"/>
      <c r="BD810" s="65"/>
      <c r="BE810" s="225"/>
    </row>
    <row r="811" spans="1:57" s="226" customFormat="1" x14ac:dyDescent="0.2">
      <c r="A811" s="676"/>
      <c r="B811" s="648"/>
      <c r="C811" s="701"/>
      <c r="D811" s="189">
        <v>2020</v>
      </c>
      <c r="E811" s="188">
        <f>F811+G811+H811+I811+J811</f>
        <v>4</v>
      </c>
      <c r="F811" s="188">
        <v>0</v>
      </c>
      <c r="G811" s="188">
        <v>0</v>
      </c>
      <c r="H811" s="188">
        <v>2</v>
      </c>
      <c r="I811" s="188">
        <v>2</v>
      </c>
      <c r="J811" s="188">
        <v>0</v>
      </c>
      <c r="K811" s="261">
        <f t="shared" si="338"/>
        <v>4</v>
      </c>
      <c r="L811" s="81"/>
      <c r="M811" s="81"/>
      <c r="N811" s="82"/>
      <c r="O811" s="776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225"/>
    </row>
    <row r="812" spans="1:57" s="226" customFormat="1" x14ac:dyDescent="0.2">
      <c r="A812" s="677"/>
      <c r="B812" s="632"/>
      <c r="C812" s="701"/>
      <c r="D812" s="189">
        <v>2021</v>
      </c>
      <c r="E812" s="188">
        <f>F812+G812+H812+I812+J812</f>
        <v>3</v>
      </c>
      <c r="F812" s="188">
        <v>0</v>
      </c>
      <c r="G812" s="188">
        <v>0</v>
      </c>
      <c r="H812" s="188">
        <v>1.5</v>
      </c>
      <c r="I812" s="188">
        <v>1.5</v>
      </c>
      <c r="J812" s="188">
        <v>0</v>
      </c>
      <c r="K812" s="261">
        <f t="shared" si="338"/>
        <v>3</v>
      </c>
      <c r="L812" s="81"/>
      <c r="M812" s="81"/>
      <c r="N812" s="82"/>
      <c r="O812" s="777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225"/>
    </row>
    <row r="813" spans="1:57" s="226" customFormat="1" x14ac:dyDescent="0.2">
      <c r="A813" s="680" t="s">
        <v>792</v>
      </c>
      <c r="B813" s="678" t="s">
        <v>1001</v>
      </c>
      <c r="C813" s="701"/>
      <c r="D813" s="46" t="s">
        <v>198</v>
      </c>
      <c r="E813" s="47">
        <f>E814+E815</f>
        <v>7</v>
      </c>
      <c r="F813" s="47">
        <f t="shared" ref="F813:I813" si="350">F814+F815</f>
        <v>0</v>
      </c>
      <c r="G813" s="47">
        <f t="shared" si="350"/>
        <v>0</v>
      </c>
      <c r="H813" s="47">
        <f t="shared" si="350"/>
        <v>3.5</v>
      </c>
      <c r="I813" s="47">
        <f t="shared" si="350"/>
        <v>3.5</v>
      </c>
      <c r="J813" s="188">
        <v>0</v>
      </c>
      <c r="K813" s="261">
        <f t="shared" si="338"/>
        <v>7</v>
      </c>
      <c r="L813" s="81" t="s">
        <v>519</v>
      </c>
      <c r="M813" s="81"/>
      <c r="N813" s="82">
        <v>4</v>
      </c>
      <c r="O813" s="695" t="s">
        <v>533</v>
      </c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225"/>
    </row>
    <row r="814" spans="1:57" s="226" customFormat="1" x14ac:dyDescent="0.2">
      <c r="A814" s="680"/>
      <c r="B814" s="678"/>
      <c r="C814" s="701"/>
      <c r="D814" s="189">
        <v>2020</v>
      </c>
      <c r="E814" s="188">
        <f>F814+G814+H814+I814+J814</f>
        <v>4</v>
      </c>
      <c r="F814" s="188">
        <v>0</v>
      </c>
      <c r="G814" s="188">
        <v>0</v>
      </c>
      <c r="H814" s="188">
        <v>2</v>
      </c>
      <c r="I814" s="188">
        <v>2</v>
      </c>
      <c r="J814" s="188">
        <v>0</v>
      </c>
      <c r="K814" s="261">
        <f t="shared" si="338"/>
        <v>4</v>
      </c>
      <c r="L814" s="81"/>
      <c r="M814" s="81"/>
      <c r="N814" s="82"/>
      <c r="O814" s="700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225"/>
    </row>
    <row r="815" spans="1:57" s="226" customFormat="1" x14ac:dyDescent="0.2">
      <c r="A815" s="680"/>
      <c r="B815" s="678"/>
      <c r="C815" s="702"/>
      <c r="D815" s="189">
        <v>2021</v>
      </c>
      <c r="E815" s="188">
        <f>F815+G815+H815+I815+J815</f>
        <v>3</v>
      </c>
      <c r="F815" s="188">
        <v>0</v>
      </c>
      <c r="G815" s="188">
        <v>0</v>
      </c>
      <c r="H815" s="188">
        <v>1.5</v>
      </c>
      <c r="I815" s="188">
        <v>1.5</v>
      </c>
      <c r="J815" s="188">
        <v>0</v>
      </c>
      <c r="K815" s="261">
        <f t="shared" si="338"/>
        <v>3</v>
      </c>
      <c r="L815" s="81"/>
      <c r="M815" s="81"/>
      <c r="N815" s="82"/>
      <c r="O815" s="696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225"/>
    </row>
    <row r="816" spans="1:57" s="226" customFormat="1" ht="12" customHeight="1" x14ac:dyDescent="0.2">
      <c r="A816" s="714" t="s">
        <v>695</v>
      </c>
      <c r="B816" s="649" t="s">
        <v>610</v>
      </c>
      <c r="C816" s="758"/>
      <c r="D816" s="59" t="s">
        <v>198</v>
      </c>
      <c r="E816" s="96">
        <f>SUM(E817:E828)</f>
        <v>118710.17846888048</v>
      </c>
      <c r="F816" s="96">
        <f t="shared" ref="F816:J816" si="351">SUM(F817:F828)</f>
        <v>2.46846888048128</v>
      </c>
      <c r="G816" s="96">
        <f t="shared" si="351"/>
        <v>0</v>
      </c>
      <c r="H816" s="96">
        <f t="shared" si="351"/>
        <v>0</v>
      </c>
      <c r="I816" s="96">
        <f>SUM(I817:I828)</f>
        <v>118707.70999999999</v>
      </c>
      <c r="J816" s="96">
        <f t="shared" si="351"/>
        <v>0</v>
      </c>
      <c r="K816" s="261">
        <f t="shared" si="338"/>
        <v>118710.17846888048</v>
      </c>
      <c r="L816" s="81"/>
      <c r="M816" s="81"/>
      <c r="N816" s="82"/>
      <c r="O816" s="146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225"/>
    </row>
    <row r="817" spans="1:57" s="226" customFormat="1" x14ac:dyDescent="0.2">
      <c r="A817" s="715"/>
      <c r="B817" s="701"/>
      <c r="C817" s="701"/>
      <c r="D817" s="59">
        <v>2019</v>
      </c>
      <c r="E817" s="96">
        <f>E830+E879+E905+E931</f>
        <v>28255.242699999999</v>
      </c>
      <c r="F817" s="96">
        <f>F830+F879+F905+F931</f>
        <v>6.2700000000000006E-2</v>
      </c>
      <c r="G817" s="96">
        <f t="shared" ref="F817:J828" si="352">G830+G879+G905+G931</f>
        <v>0</v>
      </c>
      <c r="H817" s="96">
        <f t="shared" si="352"/>
        <v>0</v>
      </c>
      <c r="I817" s="96">
        <f t="shared" si="352"/>
        <v>28255.18</v>
      </c>
      <c r="J817" s="96">
        <f t="shared" si="352"/>
        <v>0</v>
      </c>
      <c r="K817" s="261">
        <f t="shared" si="338"/>
        <v>28255.242699999999</v>
      </c>
      <c r="L817" s="81"/>
      <c r="M817" s="81"/>
      <c r="N817" s="82"/>
      <c r="O817" s="146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225"/>
    </row>
    <row r="818" spans="1:57" s="226" customFormat="1" x14ac:dyDescent="0.2">
      <c r="A818" s="715"/>
      <c r="B818" s="701"/>
      <c r="C818" s="701"/>
      <c r="D818" s="59">
        <v>2020</v>
      </c>
      <c r="E818" s="96">
        <f t="shared" ref="E818:E828" si="353">E831+E880+E906+E932</f>
        <v>40983.826150000008</v>
      </c>
      <c r="F818" s="96">
        <f t="shared" si="352"/>
        <v>0.17615</v>
      </c>
      <c r="G818" s="96">
        <f t="shared" si="352"/>
        <v>0</v>
      </c>
      <c r="H818" s="96">
        <f t="shared" si="352"/>
        <v>0</v>
      </c>
      <c r="I818" s="96">
        <f t="shared" si="352"/>
        <v>40983.65</v>
      </c>
      <c r="J818" s="96">
        <f t="shared" si="352"/>
        <v>0</v>
      </c>
      <c r="K818" s="261">
        <f t="shared" si="338"/>
        <v>40983.826150000001</v>
      </c>
      <c r="L818" s="81"/>
      <c r="M818" s="81"/>
      <c r="N818" s="82"/>
      <c r="O818" s="146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225"/>
    </row>
    <row r="819" spans="1:57" s="226" customFormat="1" x14ac:dyDescent="0.2">
      <c r="A819" s="715"/>
      <c r="B819" s="701"/>
      <c r="C819" s="701"/>
      <c r="D819" s="59">
        <v>2021</v>
      </c>
      <c r="E819" s="96">
        <f>E832+E881+E907+E933</f>
        <v>29516.062819999996</v>
      </c>
      <c r="F819" s="96">
        <f>F832+F881+F907+F933</f>
        <v>0.18281999999999998</v>
      </c>
      <c r="G819" s="96">
        <f t="shared" ref="G819:I819" si="354">G832+G881+G907+G933</f>
        <v>0</v>
      </c>
      <c r="H819" s="96">
        <f t="shared" si="354"/>
        <v>0</v>
      </c>
      <c r="I819" s="96">
        <f t="shared" si="354"/>
        <v>29515.879999999997</v>
      </c>
      <c r="J819" s="96">
        <f t="shared" si="352"/>
        <v>0</v>
      </c>
      <c r="K819" s="261">
        <f t="shared" si="338"/>
        <v>29516.062819999999</v>
      </c>
      <c r="L819" s="81"/>
      <c r="M819" s="81"/>
      <c r="N819" s="82"/>
      <c r="O819" s="146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225"/>
    </row>
    <row r="820" spans="1:57" s="226" customFormat="1" x14ac:dyDescent="0.2">
      <c r="A820" s="715"/>
      <c r="B820" s="701"/>
      <c r="C820" s="701"/>
      <c r="D820" s="59">
        <v>2022</v>
      </c>
      <c r="E820" s="96">
        <f t="shared" si="353"/>
        <v>16169.187599999999</v>
      </c>
      <c r="F820" s="96">
        <f t="shared" si="352"/>
        <v>0.18759999999999999</v>
      </c>
      <c r="G820" s="96">
        <f t="shared" si="352"/>
        <v>0</v>
      </c>
      <c r="H820" s="96">
        <f t="shared" si="352"/>
        <v>0</v>
      </c>
      <c r="I820" s="96">
        <f>I833+I882+I908+I934</f>
        <v>16169</v>
      </c>
      <c r="J820" s="96">
        <f t="shared" si="352"/>
        <v>0</v>
      </c>
      <c r="K820" s="261">
        <f t="shared" si="338"/>
        <v>16169.187599999999</v>
      </c>
      <c r="L820" s="81"/>
      <c r="M820" s="81"/>
      <c r="N820" s="82"/>
      <c r="O820" s="146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225"/>
    </row>
    <row r="821" spans="1:57" s="226" customFormat="1" x14ac:dyDescent="0.2">
      <c r="A821" s="715"/>
      <c r="B821" s="701"/>
      <c r="C821" s="701"/>
      <c r="D821" s="59">
        <v>2023</v>
      </c>
      <c r="E821" s="96">
        <f t="shared" si="353"/>
        <v>3784.2055500000006</v>
      </c>
      <c r="F821" s="96">
        <f t="shared" si="352"/>
        <v>0.20555000000000001</v>
      </c>
      <c r="G821" s="96">
        <f t="shared" si="352"/>
        <v>0</v>
      </c>
      <c r="H821" s="96">
        <f t="shared" si="352"/>
        <v>0</v>
      </c>
      <c r="I821" s="96">
        <f t="shared" si="352"/>
        <v>3784</v>
      </c>
      <c r="J821" s="96">
        <f t="shared" si="352"/>
        <v>0</v>
      </c>
      <c r="K821" s="261">
        <f t="shared" si="338"/>
        <v>3784.2055500000001</v>
      </c>
      <c r="L821" s="81"/>
      <c r="M821" s="81"/>
      <c r="N821" s="82"/>
      <c r="O821" s="146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  <c r="BC821" s="65"/>
      <c r="BD821" s="65"/>
      <c r="BE821" s="225"/>
    </row>
    <row r="822" spans="1:57" s="226" customFormat="1" x14ac:dyDescent="0.2">
      <c r="A822" s="715"/>
      <c r="B822" s="701"/>
      <c r="C822" s="701"/>
      <c r="D822" s="59">
        <v>2024</v>
      </c>
      <c r="E822" s="96">
        <f t="shared" si="353"/>
        <v>0.21138999999999999</v>
      </c>
      <c r="F822" s="96">
        <f t="shared" si="352"/>
        <v>0.21138999999999999</v>
      </c>
      <c r="G822" s="96">
        <f t="shared" si="352"/>
        <v>0</v>
      </c>
      <c r="H822" s="96">
        <f t="shared" si="352"/>
        <v>0</v>
      </c>
      <c r="I822" s="96">
        <f t="shared" si="352"/>
        <v>0</v>
      </c>
      <c r="J822" s="96">
        <f t="shared" si="352"/>
        <v>0</v>
      </c>
      <c r="K822" s="261">
        <f t="shared" si="338"/>
        <v>0.21138999999999999</v>
      </c>
      <c r="L822" s="81"/>
      <c r="M822" s="81"/>
      <c r="N822" s="82"/>
      <c r="O822" s="146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65"/>
      <c r="BD822" s="65"/>
      <c r="BE822" s="225"/>
    </row>
    <row r="823" spans="1:57" s="226" customFormat="1" x14ac:dyDescent="0.2">
      <c r="A823" s="715"/>
      <c r="B823" s="701"/>
      <c r="C823" s="701"/>
      <c r="D823" s="59">
        <v>2025</v>
      </c>
      <c r="E823" s="96">
        <f t="shared" si="353"/>
        <v>0.21740000000000001</v>
      </c>
      <c r="F823" s="96">
        <f t="shared" si="352"/>
        <v>0.21740000000000001</v>
      </c>
      <c r="G823" s="96">
        <f t="shared" si="352"/>
        <v>0</v>
      </c>
      <c r="H823" s="96">
        <f t="shared" si="352"/>
        <v>0</v>
      </c>
      <c r="I823" s="96">
        <f t="shared" si="352"/>
        <v>0</v>
      </c>
      <c r="J823" s="96">
        <f t="shared" si="352"/>
        <v>0</v>
      </c>
      <c r="K823" s="261">
        <f t="shared" si="338"/>
        <v>0.21740000000000001</v>
      </c>
      <c r="L823" s="81"/>
      <c r="M823" s="81"/>
      <c r="N823" s="82"/>
      <c r="O823" s="146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225"/>
    </row>
    <row r="824" spans="1:57" s="226" customFormat="1" x14ac:dyDescent="0.2">
      <c r="A824" s="715"/>
      <c r="B824" s="701"/>
      <c r="C824" s="701"/>
      <c r="D824" s="59">
        <v>2026</v>
      </c>
      <c r="E824" s="96">
        <f t="shared" si="353"/>
        <v>0.22608800000000001</v>
      </c>
      <c r="F824" s="96">
        <f t="shared" si="352"/>
        <v>0.22608800000000001</v>
      </c>
      <c r="G824" s="96">
        <f t="shared" si="352"/>
        <v>0</v>
      </c>
      <c r="H824" s="96">
        <f t="shared" si="352"/>
        <v>0</v>
      </c>
      <c r="I824" s="96">
        <f t="shared" si="352"/>
        <v>0</v>
      </c>
      <c r="J824" s="96">
        <f t="shared" si="352"/>
        <v>0</v>
      </c>
      <c r="K824" s="261">
        <f t="shared" si="338"/>
        <v>0.22608800000000001</v>
      </c>
      <c r="L824" s="81"/>
      <c r="M824" s="81"/>
      <c r="N824" s="82"/>
      <c r="O824" s="146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  <c r="BC824" s="65"/>
      <c r="BD824" s="65"/>
      <c r="BE824" s="225"/>
    </row>
    <row r="825" spans="1:57" s="226" customFormat="1" x14ac:dyDescent="0.2">
      <c r="A825" s="715"/>
      <c r="B825" s="701"/>
      <c r="C825" s="701"/>
      <c r="D825" s="59">
        <v>2027</v>
      </c>
      <c r="E825" s="96">
        <f t="shared" si="353"/>
        <v>0.23515552000000001</v>
      </c>
      <c r="F825" s="96">
        <f t="shared" si="352"/>
        <v>0.23515552000000001</v>
      </c>
      <c r="G825" s="96">
        <f t="shared" si="352"/>
        <v>0</v>
      </c>
      <c r="H825" s="96">
        <f t="shared" si="352"/>
        <v>0</v>
      </c>
      <c r="I825" s="96">
        <f t="shared" si="352"/>
        <v>0</v>
      </c>
      <c r="J825" s="96">
        <f t="shared" si="352"/>
        <v>0</v>
      </c>
      <c r="K825" s="261">
        <f t="shared" si="338"/>
        <v>0.23515552000000001</v>
      </c>
      <c r="L825" s="81"/>
      <c r="M825" s="81"/>
      <c r="N825" s="82"/>
      <c r="O825" s="146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  <c r="BC825" s="65"/>
      <c r="BD825" s="65"/>
      <c r="BE825" s="225"/>
    </row>
    <row r="826" spans="1:57" s="226" customFormat="1" x14ac:dyDescent="0.2">
      <c r="A826" s="715"/>
      <c r="B826" s="701"/>
      <c r="C826" s="701"/>
      <c r="D826" s="59">
        <v>2028</v>
      </c>
      <c r="E826" s="96">
        <f t="shared" si="353"/>
        <v>0.24460574080000003</v>
      </c>
      <c r="F826" s="96">
        <f t="shared" si="352"/>
        <v>0.24460574080000003</v>
      </c>
      <c r="G826" s="96">
        <f t="shared" si="352"/>
        <v>0</v>
      </c>
      <c r="H826" s="96">
        <f t="shared" si="352"/>
        <v>0</v>
      </c>
      <c r="I826" s="96">
        <f t="shared" si="352"/>
        <v>0</v>
      </c>
      <c r="J826" s="96">
        <f t="shared" si="352"/>
        <v>0</v>
      </c>
      <c r="K826" s="261">
        <f t="shared" si="338"/>
        <v>0.24460574080000003</v>
      </c>
      <c r="L826" s="81"/>
      <c r="M826" s="81"/>
      <c r="N826" s="82"/>
      <c r="O826" s="146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  <c r="BC826" s="65"/>
      <c r="BD826" s="65"/>
      <c r="BE826" s="225"/>
    </row>
    <row r="827" spans="1:57" s="226" customFormat="1" x14ac:dyDescent="0.2">
      <c r="A827" s="715"/>
      <c r="B827" s="701"/>
      <c r="C827" s="701"/>
      <c r="D827" s="59">
        <v>2029</v>
      </c>
      <c r="E827" s="96">
        <f t="shared" si="353"/>
        <v>0.25444197043200001</v>
      </c>
      <c r="F827" s="96">
        <f t="shared" si="352"/>
        <v>0.25444197043200001</v>
      </c>
      <c r="G827" s="96">
        <f t="shared" si="352"/>
        <v>0</v>
      </c>
      <c r="H827" s="96">
        <f t="shared" si="352"/>
        <v>0</v>
      </c>
      <c r="I827" s="96">
        <f t="shared" si="352"/>
        <v>0</v>
      </c>
      <c r="J827" s="96">
        <f t="shared" si="352"/>
        <v>0</v>
      </c>
      <c r="K827" s="261">
        <f t="shared" si="338"/>
        <v>0.25444197043200001</v>
      </c>
      <c r="L827" s="81"/>
      <c r="M827" s="81"/>
      <c r="N827" s="82"/>
      <c r="O827" s="146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  <c r="BC827" s="65"/>
      <c r="BD827" s="65"/>
      <c r="BE827" s="225"/>
    </row>
    <row r="828" spans="1:57" s="226" customFormat="1" x14ac:dyDescent="0.2">
      <c r="A828" s="771"/>
      <c r="B828" s="702"/>
      <c r="C828" s="702"/>
      <c r="D828" s="59">
        <v>2030</v>
      </c>
      <c r="E828" s="96">
        <f t="shared" si="353"/>
        <v>0.26456764924928</v>
      </c>
      <c r="F828" s="96">
        <f t="shared" si="352"/>
        <v>0.26456764924928</v>
      </c>
      <c r="G828" s="96">
        <f t="shared" si="352"/>
        <v>0</v>
      </c>
      <c r="H828" s="96">
        <f t="shared" si="352"/>
        <v>0</v>
      </c>
      <c r="I828" s="96">
        <f t="shared" si="352"/>
        <v>0</v>
      </c>
      <c r="J828" s="96">
        <f t="shared" si="352"/>
        <v>0</v>
      </c>
      <c r="K828" s="261">
        <f t="shared" si="338"/>
        <v>0.26456764924928</v>
      </c>
      <c r="L828" s="81"/>
      <c r="M828" s="81"/>
      <c r="N828" s="82"/>
      <c r="O828" s="146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  <c r="BC828" s="65"/>
      <c r="BD828" s="65"/>
      <c r="BE828" s="225"/>
    </row>
    <row r="829" spans="1:57" s="226" customFormat="1" ht="15.75" customHeight="1" x14ac:dyDescent="0.2">
      <c r="A829" s="772" t="s">
        <v>696</v>
      </c>
      <c r="B829" s="774" t="s">
        <v>611</v>
      </c>
      <c r="C829" s="775"/>
      <c r="D829" s="142" t="s">
        <v>198</v>
      </c>
      <c r="E829" s="146">
        <f>SUM(E830:E841)</f>
        <v>118708.27780888048</v>
      </c>
      <c r="F829" s="146">
        <f t="shared" ref="F829:J829" si="355">SUM(F830:F841)</f>
        <v>0.56780888048128009</v>
      </c>
      <c r="G829" s="146">
        <f t="shared" si="355"/>
        <v>0</v>
      </c>
      <c r="H829" s="146">
        <f t="shared" si="355"/>
        <v>0</v>
      </c>
      <c r="I829" s="146">
        <f t="shared" si="355"/>
        <v>118707.70999999999</v>
      </c>
      <c r="J829" s="146">
        <f t="shared" si="355"/>
        <v>0</v>
      </c>
      <c r="K829" s="261">
        <f t="shared" si="338"/>
        <v>118708.27780888048</v>
      </c>
      <c r="L829" s="55"/>
      <c r="M829" s="198"/>
      <c r="N829" s="199"/>
      <c r="O829" s="49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  <c r="BC829" s="65"/>
      <c r="BD829" s="65"/>
      <c r="BE829" s="225"/>
    </row>
    <row r="830" spans="1:57" s="48" customFormat="1" x14ac:dyDescent="0.2">
      <c r="A830" s="773"/>
      <c r="B830" s="735"/>
      <c r="C830" s="711"/>
      <c r="D830" s="189">
        <v>2019</v>
      </c>
      <c r="E830" s="188">
        <f>E843+E849+E853</f>
        <v>28255.192200000001</v>
      </c>
      <c r="F830" s="188">
        <f>F843+F849+F853</f>
        <v>1.2200000000000001E-2</v>
      </c>
      <c r="G830" s="188">
        <f t="shared" ref="G830:J830" si="356">G843+G849+G853</f>
        <v>0</v>
      </c>
      <c r="H830" s="188">
        <f t="shared" si="356"/>
        <v>0</v>
      </c>
      <c r="I830" s="188">
        <f>I843+I849+I853</f>
        <v>28255.18</v>
      </c>
      <c r="J830" s="188">
        <f t="shared" si="356"/>
        <v>0</v>
      </c>
      <c r="K830" s="261">
        <f t="shared" si="338"/>
        <v>28255.192200000001</v>
      </c>
      <c r="L830" s="52"/>
      <c r="M830" s="50"/>
      <c r="N830" s="51"/>
      <c r="O830" s="49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  <c r="BC830" s="65"/>
      <c r="BD830" s="65"/>
      <c r="BE830" s="66"/>
    </row>
    <row r="831" spans="1:57" s="48" customFormat="1" x14ac:dyDescent="0.2">
      <c r="A831" s="773"/>
      <c r="B831" s="735"/>
      <c r="C831" s="711"/>
      <c r="D831" s="189">
        <v>2020</v>
      </c>
      <c r="E831" s="188">
        <f>E844+E854+E850</f>
        <v>40983.692360000001</v>
      </c>
      <c r="F831" s="188">
        <f t="shared" ref="F831:J831" si="357">F844+F854+F850</f>
        <v>4.2360000000000002E-2</v>
      </c>
      <c r="G831" s="188">
        <f t="shared" si="357"/>
        <v>0</v>
      </c>
      <c r="H831" s="188">
        <f t="shared" si="357"/>
        <v>0</v>
      </c>
      <c r="I831" s="188">
        <f t="shared" si="357"/>
        <v>40983.65</v>
      </c>
      <c r="J831" s="188">
        <f t="shared" si="357"/>
        <v>0</v>
      </c>
      <c r="K831" s="261">
        <f t="shared" si="338"/>
        <v>40983.692360000001</v>
      </c>
      <c r="L831" s="52"/>
      <c r="M831" s="50"/>
      <c r="N831" s="51"/>
      <c r="O831" s="49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  <c r="BC831" s="65"/>
      <c r="BD831" s="65"/>
      <c r="BE831" s="66"/>
    </row>
    <row r="832" spans="1:57" s="48" customFormat="1" x14ac:dyDescent="0.2">
      <c r="A832" s="773"/>
      <c r="B832" s="735"/>
      <c r="C832" s="711"/>
      <c r="D832" s="189">
        <v>2021</v>
      </c>
      <c r="E832" s="188">
        <f>E845+E855+E851</f>
        <v>29515.924059999998</v>
      </c>
      <c r="F832" s="188">
        <f t="shared" ref="F832:I832" si="358">F845+F855+F851</f>
        <v>4.4060000000000002E-2</v>
      </c>
      <c r="G832" s="188">
        <f t="shared" si="358"/>
        <v>0</v>
      </c>
      <c r="H832" s="188">
        <f t="shared" si="358"/>
        <v>0</v>
      </c>
      <c r="I832" s="188">
        <f t="shared" si="358"/>
        <v>29515.879999999997</v>
      </c>
      <c r="J832" s="188">
        <f t="shared" ref="F832:J833" si="359">J845+J855</f>
        <v>0</v>
      </c>
      <c r="K832" s="261">
        <f t="shared" si="338"/>
        <v>29515.924059999998</v>
      </c>
      <c r="L832" s="52"/>
      <c r="M832" s="50"/>
      <c r="N832" s="51"/>
      <c r="O832" s="49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  <c r="BC832" s="65"/>
      <c r="BD832" s="65"/>
      <c r="BE832" s="66"/>
    </row>
    <row r="833" spans="1:57" s="48" customFormat="1" x14ac:dyDescent="0.2">
      <c r="A833" s="773"/>
      <c r="B833" s="735"/>
      <c r="C833" s="711"/>
      <c r="D833" s="189">
        <v>2022</v>
      </c>
      <c r="E833" s="188">
        <f>E846+E856</f>
        <v>16169.04579</v>
      </c>
      <c r="F833" s="188">
        <f t="shared" si="359"/>
        <v>4.5789999999999997E-2</v>
      </c>
      <c r="G833" s="188">
        <f t="shared" si="359"/>
        <v>0</v>
      </c>
      <c r="H833" s="188">
        <f t="shared" si="359"/>
        <v>0</v>
      </c>
      <c r="I833" s="188">
        <f>I846+I856</f>
        <v>16169</v>
      </c>
      <c r="J833" s="188">
        <f t="shared" si="359"/>
        <v>0</v>
      </c>
      <c r="K833" s="261">
        <f t="shared" si="338"/>
        <v>16169.04579</v>
      </c>
      <c r="L833" s="52"/>
      <c r="M833" s="50"/>
      <c r="N833" s="51"/>
      <c r="O833" s="49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66"/>
    </row>
    <row r="834" spans="1:57" s="48" customFormat="1" x14ac:dyDescent="0.2">
      <c r="A834" s="773"/>
      <c r="B834" s="735"/>
      <c r="C834" s="711"/>
      <c r="D834" s="189">
        <v>2023</v>
      </c>
      <c r="E834" s="188">
        <f>E857+E847</f>
        <v>3784.0459500000002</v>
      </c>
      <c r="F834" s="188">
        <f t="shared" ref="F834:J834" si="360">F857+F847</f>
        <v>4.5949999999999998E-2</v>
      </c>
      <c r="G834" s="188">
        <f t="shared" si="360"/>
        <v>0</v>
      </c>
      <c r="H834" s="188">
        <f t="shared" si="360"/>
        <v>0</v>
      </c>
      <c r="I834" s="188">
        <f t="shared" si="360"/>
        <v>3784</v>
      </c>
      <c r="J834" s="188">
        <f t="shared" si="360"/>
        <v>0</v>
      </c>
      <c r="K834" s="261">
        <f t="shared" si="338"/>
        <v>3784.0459500000002</v>
      </c>
      <c r="L834" s="52"/>
      <c r="M834" s="50"/>
      <c r="N834" s="51"/>
      <c r="O834" s="49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  <c r="BC834" s="65"/>
      <c r="BD834" s="65"/>
      <c r="BE834" s="66"/>
    </row>
    <row r="835" spans="1:57" s="48" customFormat="1" x14ac:dyDescent="0.2">
      <c r="A835" s="773"/>
      <c r="B835" s="735"/>
      <c r="C835" s="711"/>
      <c r="D835" s="189">
        <v>2024</v>
      </c>
      <c r="E835" s="188">
        <f>E858</f>
        <v>4.7789999999999999E-2</v>
      </c>
      <c r="F835" s="188">
        <f t="shared" ref="E835:J841" si="361">F858</f>
        <v>4.7789999999999999E-2</v>
      </c>
      <c r="G835" s="188">
        <f t="shared" si="361"/>
        <v>0</v>
      </c>
      <c r="H835" s="188">
        <f t="shared" si="361"/>
        <v>0</v>
      </c>
      <c r="I835" s="188">
        <f t="shared" si="361"/>
        <v>0</v>
      </c>
      <c r="J835" s="188">
        <f t="shared" si="361"/>
        <v>0</v>
      </c>
      <c r="K835" s="261">
        <f t="shared" si="338"/>
        <v>4.7789999999999999E-2</v>
      </c>
      <c r="L835" s="52"/>
      <c r="M835" s="50"/>
      <c r="N835" s="51"/>
      <c r="O835" s="49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  <c r="BC835" s="65"/>
      <c r="BD835" s="65"/>
      <c r="BE835" s="66"/>
    </row>
    <row r="836" spans="1:57" s="48" customFormat="1" x14ac:dyDescent="0.2">
      <c r="A836" s="773"/>
      <c r="B836" s="735"/>
      <c r="C836" s="711"/>
      <c r="D836" s="189">
        <v>2025</v>
      </c>
      <c r="E836" s="188">
        <f>E859</f>
        <v>4.9700000000000001E-2</v>
      </c>
      <c r="F836" s="188">
        <f t="shared" si="361"/>
        <v>4.9700000000000001E-2</v>
      </c>
      <c r="G836" s="188">
        <f t="shared" si="361"/>
        <v>0</v>
      </c>
      <c r="H836" s="188">
        <f t="shared" si="361"/>
        <v>0</v>
      </c>
      <c r="I836" s="188">
        <f t="shared" si="361"/>
        <v>0</v>
      </c>
      <c r="J836" s="188">
        <f t="shared" si="361"/>
        <v>0</v>
      </c>
      <c r="K836" s="261">
        <f t="shared" si="338"/>
        <v>4.9700000000000001E-2</v>
      </c>
      <c r="L836" s="52"/>
      <c r="M836" s="50"/>
      <c r="N836" s="51"/>
      <c r="O836" s="49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  <c r="BC836" s="65"/>
      <c r="BD836" s="65"/>
      <c r="BE836" s="66"/>
    </row>
    <row r="837" spans="1:57" s="48" customFormat="1" x14ac:dyDescent="0.2">
      <c r="A837" s="773"/>
      <c r="B837" s="735"/>
      <c r="C837" s="711"/>
      <c r="D837" s="189">
        <v>2026</v>
      </c>
      <c r="E837" s="188">
        <f t="shared" si="361"/>
        <v>5.1688000000000005E-2</v>
      </c>
      <c r="F837" s="188">
        <f t="shared" si="361"/>
        <v>5.1688000000000005E-2</v>
      </c>
      <c r="G837" s="188">
        <f t="shared" si="361"/>
        <v>0</v>
      </c>
      <c r="H837" s="188">
        <f t="shared" si="361"/>
        <v>0</v>
      </c>
      <c r="I837" s="188">
        <f t="shared" si="361"/>
        <v>0</v>
      </c>
      <c r="J837" s="188">
        <f t="shared" si="361"/>
        <v>0</v>
      </c>
      <c r="K837" s="261">
        <f t="shared" si="338"/>
        <v>5.1688000000000005E-2</v>
      </c>
      <c r="L837" s="52"/>
      <c r="M837" s="50"/>
      <c r="N837" s="51"/>
      <c r="O837" s="49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  <c r="BC837" s="65"/>
      <c r="BD837" s="65"/>
      <c r="BE837" s="66"/>
    </row>
    <row r="838" spans="1:57" s="48" customFormat="1" x14ac:dyDescent="0.2">
      <c r="A838" s="773"/>
      <c r="B838" s="735"/>
      <c r="C838" s="711"/>
      <c r="D838" s="189">
        <v>2027</v>
      </c>
      <c r="E838" s="188">
        <f>E861</f>
        <v>5.3755520000000008E-2</v>
      </c>
      <c r="F838" s="188">
        <f t="shared" si="361"/>
        <v>5.3755520000000008E-2</v>
      </c>
      <c r="G838" s="188">
        <f t="shared" si="361"/>
        <v>0</v>
      </c>
      <c r="H838" s="188">
        <f t="shared" si="361"/>
        <v>0</v>
      </c>
      <c r="I838" s="188">
        <f t="shared" si="361"/>
        <v>0</v>
      </c>
      <c r="J838" s="188">
        <f t="shared" si="361"/>
        <v>0</v>
      </c>
      <c r="K838" s="261">
        <f t="shared" si="338"/>
        <v>5.3755520000000008E-2</v>
      </c>
      <c r="L838" s="52"/>
      <c r="M838" s="50"/>
      <c r="N838" s="51"/>
      <c r="O838" s="49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66"/>
    </row>
    <row r="839" spans="1:57" s="48" customFormat="1" x14ac:dyDescent="0.2">
      <c r="A839" s="773"/>
      <c r="B839" s="735"/>
      <c r="C839" s="711"/>
      <c r="D839" s="189">
        <v>2028</v>
      </c>
      <c r="E839" s="188">
        <f t="shared" si="361"/>
        <v>5.5905740800000013E-2</v>
      </c>
      <c r="F839" s="188">
        <f t="shared" si="361"/>
        <v>5.5905740800000013E-2</v>
      </c>
      <c r="G839" s="188">
        <f t="shared" si="361"/>
        <v>0</v>
      </c>
      <c r="H839" s="188">
        <f t="shared" si="361"/>
        <v>0</v>
      </c>
      <c r="I839" s="188">
        <f t="shared" si="361"/>
        <v>0</v>
      </c>
      <c r="J839" s="188">
        <f t="shared" si="361"/>
        <v>0</v>
      </c>
      <c r="K839" s="261">
        <f t="shared" si="338"/>
        <v>5.5905740800000013E-2</v>
      </c>
      <c r="L839" s="52"/>
      <c r="M839" s="50"/>
      <c r="N839" s="51"/>
      <c r="O839" s="49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66"/>
    </row>
    <row r="840" spans="1:57" s="48" customFormat="1" x14ac:dyDescent="0.2">
      <c r="A840" s="773"/>
      <c r="B840" s="735"/>
      <c r="C840" s="711"/>
      <c r="D840" s="189">
        <v>2029</v>
      </c>
      <c r="E840" s="188">
        <f t="shared" si="361"/>
        <v>5.8141970432000013E-2</v>
      </c>
      <c r="F840" s="188">
        <f t="shared" si="361"/>
        <v>5.8141970432000013E-2</v>
      </c>
      <c r="G840" s="188">
        <f t="shared" si="361"/>
        <v>0</v>
      </c>
      <c r="H840" s="188">
        <f t="shared" si="361"/>
        <v>0</v>
      </c>
      <c r="I840" s="188">
        <f t="shared" si="361"/>
        <v>0</v>
      </c>
      <c r="J840" s="188">
        <f t="shared" si="361"/>
        <v>0</v>
      </c>
      <c r="K840" s="261">
        <f t="shared" si="338"/>
        <v>5.8141970432000013E-2</v>
      </c>
      <c r="L840" s="52"/>
      <c r="M840" s="50"/>
      <c r="N840" s="51"/>
      <c r="O840" s="49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66"/>
    </row>
    <row r="841" spans="1:57" s="48" customFormat="1" ht="17.25" customHeight="1" x14ac:dyDescent="0.2">
      <c r="A841" s="770"/>
      <c r="B841" s="770"/>
      <c r="C841" s="712"/>
      <c r="D841" s="189">
        <v>2030</v>
      </c>
      <c r="E841" s="188">
        <f>E864</f>
        <v>6.0467649249280019E-2</v>
      </c>
      <c r="F841" s="188">
        <f t="shared" si="361"/>
        <v>6.0467649249280019E-2</v>
      </c>
      <c r="G841" s="188">
        <f t="shared" si="361"/>
        <v>0</v>
      </c>
      <c r="H841" s="188">
        <f t="shared" si="361"/>
        <v>0</v>
      </c>
      <c r="I841" s="188">
        <f t="shared" si="361"/>
        <v>0</v>
      </c>
      <c r="J841" s="188">
        <f t="shared" si="361"/>
        <v>0</v>
      </c>
      <c r="K841" s="261">
        <f t="shared" si="338"/>
        <v>6.0467649249280019E-2</v>
      </c>
      <c r="L841" s="52"/>
      <c r="M841" s="50"/>
      <c r="N841" s="51"/>
      <c r="O841" s="49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6"/>
    </row>
    <row r="842" spans="1:57" s="48" customFormat="1" ht="12.75" customHeight="1" x14ac:dyDescent="0.2">
      <c r="A842" s="697" t="s">
        <v>697</v>
      </c>
      <c r="B842" s="739" t="s">
        <v>264</v>
      </c>
      <c r="C842" s="739" t="s">
        <v>386</v>
      </c>
      <c r="D842" s="46" t="s">
        <v>198</v>
      </c>
      <c r="E842" s="47">
        <f>E843+E844+E845+E846+E847</f>
        <v>53342</v>
      </c>
      <c r="F842" s="47">
        <f t="shared" ref="F842:J842" si="362">F843+F844+F845+F846+F847</f>
        <v>0</v>
      </c>
      <c r="G842" s="47">
        <f t="shared" si="362"/>
        <v>0</v>
      </c>
      <c r="H842" s="47">
        <f t="shared" si="362"/>
        <v>0</v>
      </c>
      <c r="I842" s="47">
        <f t="shared" si="362"/>
        <v>53342</v>
      </c>
      <c r="J842" s="47">
        <f t="shared" si="362"/>
        <v>0</v>
      </c>
      <c r="K842" s="261">
        <f t="shared" si="338"/>
        <v>53342</v>
      </c>
      <c r="L842" s="767" t="s">
        <v>895</v>
      </c>
      <c r="M842" s="50"/>
      <c r="N842" s="762">
        <v>886</v>
      </c>
      <c r="O842" s="746" t="s">
        <v>896</v>
      </c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66"/>
    </row>
    <row r="843" spans="1:57" s="48" customFormat="1" x14ac:dyDescent="0.2">
      <c r="A843" s="698"/>
      <c r="B843" s="740"/>
      <c r="C843" s="740"/>
      <c r="D843" s="189">
        <v>2019</v>
      </c>
      <c r="E843" s="188">
        <f>F843+G843+H843+I843+J843</f>
        <v>9396</v>
      </c>
      <c r="F843" s="188">
        <v>0</v>
      </c>
      <c r="G843" s="188">
        <v>0</v>
      </c>
      <c r="H843" s="188">
        <v>0</v>
      </c>
      <c r="I843" s="188">
        <v>9396</v>
      </c>
      <c r="J843" s="188">
        <v>0</v>
      </c>
      <c r="K843" s="261">
        <f t="shared" si="338"/>
        <v>9396</v>
      </c>
      <c r="L843" s="768"/>
      <c r="M843" s="50"/>
      <c r="N843" s="763"/>
      <c r="O843" s="747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/>
      <c r="BE843" s="66"/>
    </row>
    <row r="844" spans="1:57" s="48" customFormat="1" x14ac:dyDescent="0.2">
      <c r="A844" s="698"/>
      <c r="B844" s="740"/>
      <c r="C844" s="740"/>
      <c r="D844" s="189">
        <v>2020</v>
      </c>
      <c r="E844" s="188">
        <f>F844+G844+H844+I844+J844</f>
        <v>6781</v>
      </c>
      <c r="F844" s="188">
        <v>0</v>
      </c>
      <c r="G844" s="188">
        <v>0</v>
      </c>
      <c r="H844" s="188">
        <v>0</v>
      </c>
      <c r="I844" s="188">
        <v>6781</v>
      </c>
      <c r="J844" s="188">
        <v>0</v>
      </c>
      <c r="K844" s="261">
        <f t="shared" si="338"/>
        <v>6781</v>
      </c>
      <c r="L844" s="768"/>
      <c r="M844" s="50"/>
      <c r="N844" s="763"/>
      <c r="O844" s="747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/>
      <c r="BB844" s="65"/>
      <c r="BC844" s="65"/>
      <c r="BD844" s="65"/>
      <c r="BE844" s="66"/>
    </row>
    <row r="845" spans="1:57" s="48" customFormat="1" x14ac:dyDescent="0.2">
      <c r="A845" s="698"/>
      <c r="B845" s="740"/>
      <c r="C845" s="740"/>
      <c r="D845" s="189">
        <v>2021</v>
      </c>
      <c r="E845" s="188">
        <f t="shared" ref="E845:E847" si="363">F845+G845+H845+I845+J845</f>
        <v>17212</v>
      </c>
      <c r="F845" s="188">
        <v>0</v>
      </c>
      <c r="G845" s="188">
        <v>0</v>
      </c>
      <c r="H845" s="188">
        <v>0</v>
      </c>
      <c r="I845" s="188">
        <v>17212</v>
      </c>
      <c r="J845" s="188">
        <v>0</v>
      </c>
      <c r="K845" s="261">
        <f t="shared" si="338"/>
        <v>17212</v>
      </c>
      <c r="L845" s="768"/>
      <c r="M845" s="50"/>
      <c r="N845" s="763"/>
      <c r="O845" s="747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/>
      <c r="BB845" s="65"/>
      <c r="BC845" s="65"/>
      <c r="BD845" s="65"/>
      <c r="BE845" s="66"/>
    </row>
    <row r="846" spans="1:57" s="48" customFormat="1" ht="14.25" customHeight="1" x14ac:dyDescent="0.2">
      <c r="A846" s="698"/>
      <c r="B846" s="740"/>
      <c r="C846" s="740"/>
      <c r="D846" s="189">
        <v>2022</v>
      </c>
      <c r="E846" s="188">
        <f t="shared" si="363"/>
        <v>16169</v>
      </c>
      <c r="F846" s="188">
        <v>0</v>
      </c>
      <c r="G846" s="188">
        <v>0</v>
      </c>
      <c r="H846" s="188">
        <v>0</v>
      </c>
      <c r="I846" s="188">
        <v>16169</v>
      </c>
      <c r="J846" s="188">
        <v>0</v>
      </c>
      <c r="K846" s="261">
        <f t="shared" si="338"/>
        <v>16169</v>
      </c>
      <c r="L846" s="768"/>
      <c r="M846" s="50"/>
      <c r="N846" s="763"/>
      <c r="O846" s="747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/>
      <c r="BB846" s="65"/>
      <c r="BC846" s="65"/>
      <c r="BD846" s="65"/>
      <c r="BE846" s="66"/>
    </row>
    <row r="847" spans="1:57" s="48" customFormat="1" ht="14.25" customHeight="1" x14ac:dyDescent="0.2">
      <c r="A847" s="698"/>
      <c r="B847" s="741"/>
      <c r="C847" s="740"/>
      <c r="D847" s="189">
        <v>2023</v>
      </c>
      <c r="E847" s="188">
        <f t="shared" si="363"/>
        <v>3784</v>
      </c>
      <c r="F847" s="188">
        <v>0</v>
      </c>
      <c r="G847" s="188">
        <v>0</v>
      </c>
      <c r="H847" s="188">
        <v>0</v>
      </c>
      <c r="I847" s="188">
        <v>3784</v>
      </c>
      <c r="J847" s="188">
        <v>0</v>
      </c>
      <c r="K847" s="261">
        <f t="shared" si="338"/>
        <v>3784</v>
      </c>
      <c r="L847" s="176"/>
      <c r="M847" s="50"/>
      <c r="N847" s="173"/>
      <c r="O847" s="149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/>
      <c r="BB847" s="65"/>
      <c r="BC847" s="65"/>
      <c r="BD847" s="65"/>
      <c r="BE847" s="66"/>
    </row>
    <row r="848" spans="1:57" s="48" customFormat="1" x14ac:dyDescent="0.2">
      <c r="A848" s="697" t="s">
        <v>699</v>
      </c>
      <c r="B848" s="739" t="s">
        <v>266</v>
      </c>
      <c r="C848" s="739" t="s">
        <v>386</v>
      </c>
      <c r="D848" s="46" t="s">
        <v>198</v>
      </c>
      <c r="E848" s="47">
        <f>E849</f>
        <v>18859.18</v>
      </c>
      <c r="F848" s="47">
        <f t="shared" ref="F848:J848" si="364">F849</f>
        <v>0</v>
      </c>
      <c r="G848" s="47">
        <f t="shared" si="364"/>
        <v>0</v>
      </c>
      <c r="H848" s="47">
        <f t="shared" si="364"/>
        <v>0</v>
      </c>
      <c r="I848" s="47">
        <f t="shared" si="364"/>
        <v>18859.18</v>
      </c>
      <c r="J848" s="47">
        <f t="shared" si="364"/>
        <v>0</v>
      </c>
      <c r="K848" s="261">
        <f t="shared" ref="K848:K911" si="365">F848+G848+H848+I848+J848</f>
        <v>18859.18</v>
      </c>
      <c r="L848" s="760" t="s">
        <v>177</v>
      </c>
      <c r="M848" s="50"/>
      <c r="N848" s="762">
        <v>851</v>
      </c>
      <c r="O848" s="765" t="s">
        <v>897</v>
      </c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65"/>
      <c r="BD848" s="65"/>
      <c r="BE848" s="66"/>
    </row>
    <row r="849" spans="1:57" s="48" customFormat="1" x14ac:dyDescent="0.2">
      <c r="A849" s="759"/>
      <c r="B849" s="701"/>
      <c r="C849" s="740"/>
      <c r="D849" s="189">
        <v>2019</v>
      </c>
      <c r="E849" s="188">
        <f>F849+G849+H849+I849+J849</f>
        <v>18859.18</v>
      </c>
      <c r="F849" s="188">
        <v>0</v>
      </c>
      <c r="G849" s="188">
        <v>0</v>
      </c>
      <c r="H849" s="188">
        <v>0</v>
      </c>
      <c r="I849" s="188">
        <v>18859.18</v>
      </c>
      <c r="J849" s="188">
        <v>0</v>
      </c>
      <c r="K849" s="261">
        <f t="shared" si="365"/>
        <v>18859.18</v>
      </c>
      <c r="L849" s="761"/>
      <c r="M849" s="50"/>
      <c r="N849" s="763"/>
      <c r="O849" s="766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  <c r="BC849" s="65"/>
      <c r="BD849" s="65"/>
      <c r="BE849" s="66"/>
    </row>
    <row r="850" spans="1:57" s="48" customFormat="1" ht="14.25" customHeight="1" x14ac:dyDescent="0.2">
      <c r="A850" s="249"/>
      <c r="B850" s="250"/>
      <c r="C850" s="193"/>
      <c r="D850" s="189">
        <v>2020</v>
      </c>
      <c r="E850" s="188">
        <f>F850+G850+H850+I850+J850</f>
        <v>34202.65</v>
      </c>
      <c r="F850" s="188">
        <v>0</v>
      </c>
      <c r="G850" s="188">
        <v>0</v>
      </c>
      <c r="H850" s="188">
        <v>0</v>
      </c>
      <c r="I850" s="188">
        <v>34202.65</v>
      </c>
      <c r="J850" s="188">
        <v>0</v>
      </c>
      <c r="K850" s="261">
        <f t="shared" si="365"/>
        <v>34202.65</v>
      </c>
      <c r="L850" s="94"/>
      <c r="M850" s="50"/>
      <c r="N850" s="763"/>
      <c r="O850" s="251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65"/>
      <c r="BD850" s="65"/>
      <c r="BE850" s="66"/>
    </row>
    <row r="851" spans="1:57" s="48" customFormat="1" ht="14.25" customHeight="1" x14ac:dyDescent="0.2">
      <c r="A851" s="249"/>
      <c r="B851" s="250"/>
      <c r="C851" s="193"/>
      <c r="D851" s="189">
        <v>2021</v>
      </c>
      <c r="E851" s="188">
        <f>F851+G851+H851+I851+J851</f>
        <v>12303.88</v>
      </c>
      <c r="F851" s="188">
        <v>0</v>
      </c>
      <c r="G851" s="188">
        <v>0</v>
      </c>
      <c r="H851" s="188">
        <v>0</v>
      </c>
      <c r="I851" s="188">
        <v>12303.88</v>
      </c>
      <c r="J851" s="188">
        <v>0</v>
      </c>
      <c r="K851" s="261">
        <f t="shared" si="365"/>
        <v>12303.88</v>
      </c>
      <c r="L851" s="94"/>
      <c r="M851" s="50"/>
      <c r="N851" s="764"/>
      <c r="O851" s="251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/>
      <c r="BB851" s="65"/>
      <c r="BC851" s="65"/>
      <c r="BD851" s="65"/>
      <c r="BE851" s="66"/>
    </row>
    <row r="852" spans="1:57" s="48" customFormat="1" x14ac:dyDescent="0.2">
      <c r="A852" s="662" t="s">
        <v>736</v>
      </c>
      <c r="B852" s="631" t="s">
        <v>737</v>
      </c>
      <c r="C852" s="137"/>
      <c r="D852" s="46" t="s">
        <v>198</v>
      </c>
      <c r="E852" s="47">
        <f>E853+E854+E855+E856+E858+E859+E860+E861+E862+E863+E864+E857</f>
        <v>0.56780888048128009</v>
      </c>
      <c r="F852" s="47">
        <f>F853+F854+F855+F856+F858+F859+F860+F861+F862+F863+F864+F857</f>
        <v>0.56780888048128009</v>
      </c>
      <c r="G852" s="47">
        <f t="shared" ref="G852:J852" si="366">G853+G854+G855+G856+G858+G859+G860+G861+G862+G863+G864+G857</f>
        <v>0</v>
      </c>
      <c r="H852" s="47">
        <f t="shared" si="366"/>
        <v>0</v>
      </c>
      <c r="I852" s="47">
        <f t="shared" si="366"/>
        <v>0</v>
      </c>
      <c r="J852" s="47">
        <f t="shared" si="366"/>
        <v>0</v>
      </c>
      <c r="K852" s="261">
        <f t="shared" si="365"/>
        <v>0.56780888048128009</v>
      </c>
      <c r="L852" s="94"/>
      <c r="M852" s="50"/>
      <c r="N852" s="95"/>
      <c r="O852" s="746" t="s">
        <v>739</v>
      </c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/>
      <c r="BB852" s="65"/>
      <c r="BC852" s="65"/>
      <c r="BD852" s="65"/>
      <c r="BE852" s="66"/>
    </row>
    <row r="853" spans="1:57" s="48" customFormat="1" ht="17.25" customHeight="1" x14ac:dyDescent="0.2">
      <c r="A853" s="717"/>
      <c r="B853" s="701"/>
      <c r="C853" s="252" t="s">
        <v>738</v>
      </c>
      <c r="D853" s="189">
        <v>2019</v>
      </c>
      <c r="E853" s="188">
        <f>F853+G853+H853+I853+J853</f>
        <v>1.2200000000000001E-2</v>
      </c>
      <c r="F853" s="188">
        <v>1.2200000000000001E-2</v>
      </c>
      <c r="G853" s="188">
        <v>0</v>
      </c>
      <c r="H853" s="188">
        <v>0</v>
      </c>
      <c r="I853" s="188">
        <v>0</v>
      </c>
      <c r="J853" s="188">
        <v>0</v>
      </c>
      <c r="K853" s="261">
        <f t="shared" si="365"/>
        <v>1.2200000000000001E-2</v>
      </c>
      <c r="L853" s="94"/>
      <c r="M853" s="50"/>
      <c r="N853" s="95"/>
      <c r="O853" s="701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  <c r="BC853" s="65"/>
      <c r="BD853" s="65"/>
      <c r="BE853" s="66"/>
    </row>
    <row r="854" spans="1:57" s="330" customFormat="1" ht="14.25" customHeight="1" x14ac:dyDescent="0.2">
      <c r="A854" s="717"/>
      <c r="B854" s="701"/>
      <c r="C854" s="755" t="s">
        <v>885</v>
      </c>
      <c r="D854" s="331">
        <v>2020</v>
      </c>
      <c r="E854" s="332">
        <f t="shared" ref="E854:E864" si="367">F854+G854+H854+I854+J854</f>
        <v>4.2360000000000002E-2</v>
      </c>
      <c r="F854" s="332">
        <v>4.2360000000000002E-2</v>
      </c>
      <c r="G854" s="332">
        <v>0</v>
      </c>
      <c r="H854" s="332">
        <v>0</v>
      </c>
      <c r="I854" s="332">
        <v>0</v>
      </c>
      <c r="J854" s="332">
        <v>0</v>
      </c>
      <c r="K854" s="325">
        <f t="shared" si="365"/>
        <v>4.2360000000000002E-2</v>
      </c>
      <c r="L854" s="454"/>
      <c r="M854" s="326"/>
      <c r="N854" s="455"/>
      <c r="O854" s="701"/>
      <c r="P854" s="328"/>
      <c r="Q854" s="328"/>
      <c r="R854" s="328"/>
      <c r="S854" s="328"/>
      <c r="T854" s="328"/>
      <c r="U854" s="328"/>
      <c r="V854" s="328"/>
      <c r="W854" s="328"/>
      <c r="X854" s="328"/>
      <c r="Y854" s="328"/>
      <c r="Z854" s="328"/>
      <c r="AA854" s="328"/>
      <c r="AB854" s="328"/>
      <c r="AC854" s="328"/>
      <c r="AD854" s="328"/>
      <c r="AE854" s="328"/>
      <c r="AF854" s="328"/>
      <c r="AG854" s="328"/>
      <c r="AH854" s="328"/>
      <c r="AI854" s="328"/>
      <c r="AJ854" s="328"/>
      <c r="AK854" s="328"/>
      <c r="AL854" s="328"/>
      <c r="AM854" s="328"/>
      <c r="AN854" s="328"/>
      <c r="AO854" s="328"/>
      <c r="AP854" s="328"/>
      <c r="AQ854" s="328"/>
      <c r="AR854" s="328"/>
      <c r="AS854" s="328"/>
      <c r="AT854" s="328"/>
      <c r="AU854" s="328"/>
      <c r="AV854" s="328"/>
      <c r="AW854" s="328"/>
      <c r="AX854" s="328"/>
      <c r="AY854" s="328"/>
      <c r="AZ854" s="328"/>
      <c r="BA854" s="328"/>
      <c r="BB854" s="328"/>
      <c r="BC854" s="328"/>
      <c r="BD854" s="328"/>
      <c r="BE854" s="329"/>
    </row>
    <row r="855" spans="1:57" s="330" customFormat="1" ht="14.25" customHeight="1" x14ac:dyDescent="0.2">
      <c r="A855" s="717"/>
      <c r="B855" s="701"/>
      <c r="C855" s="756"/>
      <c r="D855" s="331">
        <v>2021</v>
      </c>
      <c r="E855" s="332">
        <f t="shared" si="367"/>
        <v>4.4060000000000002E-2</v>
      </c>
      <c r="F855" s="332">
        <v>4.4060000000000002E-2</v>
      </c>
      <c r="G855" s="332">
        <v>0</v>
      </c>
      <c r="H855" s="332">
        <v>0</v>
      </c>
      <c r="I855" s="332">
        <v>0</v>
      </c>
      <c r="J855" s="332">
        <v>0</v>
      </c>
      <c r="K855" s="325">
        <f t="shared" si="365"/>
        <v>4.4060000000000002E-2</v>
      </c>
      <c r="L855" s="454"/>
      <c r="M855" s="326"/>
      <c r="N855" s="455"/>
      <c r="O855" s="701"/>
      <c r="P855" s="328"/>
      <c r="Q855" s="328"/>
      <c r="R855" s="328"/>
      <c r="S855" s="328"/>
      <c r="T855" s="328"/>
      <c r="U855" s="328"/>
      <c r="V855" s="328"/>
      <c r="W855" s="328"/>
      <c r="X855" s="328"/>
      <c r="Y855" s="328"/>
      <c r="Z855" s="328"/>
      <c r="AA855" s="328"/>
      <c r="AB855" s="328"/>
      <c r="AC855" s="328"/>
      <c r="AD855" s="328"/>
      <c r="AE855" s="328"/>
      <c r="AF855" s="328"/>
      <c r="AG855" s="328"/>
      <c r="AH855" s="328"/>
      <c r="AI855" s="328"/>
      <c r="AJ855" s="328"/>
      <c r="AK855" s="328"/>
      <c r="AL855" s="328"/>
      <c r="AM855" s="328"/>
      <c r="AN855" s="328"/>
      <c r="AO855" s="328"/>
      <c r="AP855" s="328"/>
      <c r="AQ855" s="328"/>
      <c r="AR855" s="328"/>
      <c r="AS855" s="328"/>
      <c r="AT855" s="328"/>
      <c r="AU855" s="328"/>
      <c r="AV855" s="328"/>
      <c r="AW855" s="328"/>
      <c r="AX855" s="328"/>
      <c r="AY855" s="328"/>
      <c r="AZ855" s="328"/>
      <c r="BA855" s="328"/>
      <c r="BB855" s="328"/>
      <c r="BC855" s="328"/>
      <c r="BD855" s="328"/>
      <c r="BE855" s="329"/>
    </row>
    <row r="856" spans="1:57" s="330" customFormat="1" ht="14.25" customHeight="1" x14ac:dyDescent="0.2">
      <c r="A856" s="717"/>
      <c r="B856" s="701"/>
      <c r="C856" s="756"/>
      <c r="D856" s="331">
        <v>2022</v>
      </c>
      <c r="E856" s="332">
        <f t="shared" si="367"/>
        <v>4.5789999999999997E-2</v>
      </c>
      <c r="F856" s="332">
        <v>4.5789999999999997E-2</v>
      </c>
      <c r="G856" s="332">
        <v>0</v>
      </c>
      <c r="H856" s="332">
        <v>0</v>
      </c>
      <c r="I856" s="332">
        <v>0</v>
      </c>
      <c r="J856" s="332">
        <v>0</v>
      </c>
      <c r="K856" s="325">
        <f t="shared" si="365"/>
        <v>4.5789999999999997E-2</v>
      </c>
      <c r="L856" s="454"/>
      <c r="M856" s="326"/>
      <c r="N856" s="455"/>
      <c r="O856" s="701"/>
      <c r="P856" s="328"/>
      <c r="Q856" s="328"/>
      <c r="R856" s="328"/>
      <c r="S856" s="328"/>
      <c r="T856" s="328"/>
      <c r="U856" s="328"/>
      <c r="V856" s="328"/>
      <c r="W856" s="328"/>
      <c r="X856" s="328"/>
      <c r="Y856" s="328"/>
      <c r="Z856" s="328"/>
      <c r="AA856" s="328"/>
      <c r="AB856" s="328"/>
      <c r="AC856" s="328"/>
      <c r="AD856" s="328"/>
      <c r="AE856" s="328"/>
      <c r="AF856" s="328"/>
      <c r="AG856" s="328"/>
      <c r="AH856" s="328"/>
      <c r="AI856" s="328"/>
      <c r="AJ856" s="328"/>
      <c r="AK856" s="328"/>
      <c r="AL856" s="328"/>
      <c r="AM856" s="328"/>
      <c r="AN856" s="328"/>
      <c r="AO856" s="328"/>
      <c r="AP856" s="328"/>
      <c r="AQ856" s="328"/>
      <c r="AR856" s="328"/>
      <c r="AS856" s="328"/>
      <c r="AT856" s="328"/>
      <c r="AU856" s="328"/>
      <c r="AV856" s="328"/>
      <c r="AW856" s="328"/>
      <c r="AX856" s="328"/>
      <c r="AY856" s="328"/>
      <c r="AZ856" s="328"/>
      <c r="BA856" s="328"/>
      <c r="BB856" s="328"/>
      <c r="BC856" s="328"/>
      <c r="BD856" s="328"/>
      <c r="BE856" s="329"/>
    </row>
    <row r="857" spans="1:57" s="48" customFormat="1" ht="14.25" customHeight="1" x14ac:dyDescent="0.2">
      <c r="A857" s="717"/>
      <c r="B857" s="701"/>
      <c r="C857" s="756"/>
      <c r="D857" s="189">
        <v>2023</v>
      </c>
      <c r="E857" s="188">
        <f t="shared" si="367"/>
        <v>4.5949999999999998E-2</v>
      </c>
      <c r="F857" s="188">
        <v>4.5949999999999998E-2</v>
      </c>
      <c r="G857" s="188">
        <v>0</v>
      </c>
      <c r="H857" s="188">
        <v>0</v>
      </c>
      <c r="I857" s="188">
        <v>0</v>
      </c>
      <c r="J857" s="188">
        <v>0</v>
      </c>
      <c r="K857" s="261">
        <f t="shared" si="365"/>
        <v>4.5949999999999998E-2</v>
      </c>
      <c r="L857" s="94"/>
      <c r="M857" s="50"/>
      <c r="N857" s="95"/>
      <c r="O857" s="701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  <c r="BC857" s="65"/>
      <c r="BD857" s="65"/>
      <c r="BE857" s="66"/>
    </row>
    <row r="858" spans="1:57" s="48" customFormat="1" ht="14.25" customHeight="1" x14ac:dyDescent="0.2">
      <c r="A858" s="717"/>
      <c r="B858" s="701"/>
      <c r="C858" s="756"/>
      <c r="D858" s="189">
        <v>2024</v>
      </c>
      <c r="E858" s="188">
        <f t="shared" si="367"/>
        <v>4.7789999999999999E-2</v>
      </c>
      <c r="F858" s="188">
        <v>4.7789999999999999E-2</v>
      </c>
      <c r="G858" s="188">
        <v>0</v>
      </c>
      <c r="H858" s="188">
        <v>0</v>
      </c>
      <c r="I858" s="188">
        <v>0</v>
      </c>
      <c r="J858" s="188">
        <v>0</v>
      </c>
      <c r="K858" s="261">
        <f t="shared" si="365"/>
        <v>4.7789999999999999E-2</v>
      </c>
      <c r="L858" s="94"/>
      <c r="M858" s="50"/>
      <c r="N858" s="95"/>
      <c r="O858" s="701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/>
      <c r="BB858" s="65"/>
      <c r="BC858" s="65"/>
      <c r="BD858" s="65"/>
      <c r="BE858" s="66"/>
    </row>
    <row r="859" spans="1:57" s="48" customFormat="1" ht="14.25" customHeight="1" x14ac:dyDescent="0.2">
      <c r="A859" s="717"/>
      <c r="B859" s="701"/>
      <c r="C859" s="757"/>
      <c r="D859" s="189">
        <v>2025</v>
      </c>
      <c r="E859" s="188">
        <f t="shared" si="367"/>
        <v>4.9700000000000001E-2</v>
      </c>
      <c r="F859" s="188">
        <v>4.9700000000000001E-2</v>
      </c>
      <c r="G859" s="188">
        <v>0</v>
      </c>
      <c r="H859" s="188">
        <v>0</v>
      </c>
      <c r="I859" s="188">
        <v>0</v>
      </c>
      <c r="J859" s="188">
        <v>0</v>
      </c>
      <c r="K859" s="261">
        <f t="shared" si="365"/>
        <v>4.9700000000000001E-2</v>
      </c>
      <c r="L859" s="94"/>
      <c r="M859" s="50"/>
      <c r="N859" s="95"/>
      <c r="O859" s="701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  <c r="BC859" s="65"/>
      <c r="BD859" s="65"/>
      <c r="BE859" s="66"/>
    </row>
    <row r="860" spans="1:57" s="48" customFormat="1" ht="14.25" customHeight="1" x14ac:dyDescent="0.2">
      <c r="A860" s="717"/>
      <c r="B860" s="701"/>
      <c r="C860" s="755" t="s">
        <v>886</v>
      </c>
      <c r="D860" s="189">
        <v>2026</v>
      </c>
      <c r="E860" s="188">
        <f t="shared" si="367"/>
        <v>5.1688000000000005E-2</v>
      </c>
      <c r="F860" s="188">
        <f>F859*1.04</f>
        <v>5.1688000000000005E-2</v>
      </c>
      <c r="G860" s="188">
        <v>0</v>
      </c>
      <c r="H860" s="188">
        <v>0</v>
      </c>
      <c r="I860" s="188">
        <v>0</v>
      </c>
      <c r="J860" s="188">
        <v>0</v>
      </c>
      <c r="K860" s="261">
        <f t="shared" si="365"/>
        <v>5.1688000000000005E-2</v>
      </c>
      <c r="L860" s="94"/>
      <c r="M860" s="50"/>
      <c r="N860" s="95"/>
      <c r="O860" s="701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/>
      <c r="BB860" s="65"/>
      <c r="BC860" s="65"/>
      <c r="BD860" s="65"/>
      <c r="BE860" s="66"/>
    </row>
    <row r="861" spans="1:57" s="48" customFormat="1" ht="14.25" customHeight="1" x14ac:dyDescent="0.2">
      <c r="A861" s="717"/>
      <c r="B861" s="701"/>
      <c r="C861" s="756"/>
      <c r="D861" s="189">
        <v>2027</v>
      </c>
      <c r="E861" s="188">
        <f t="shared" si="367"/>
        <v>5.3755520000000008E-2</v>
      </c>
      <c r="F861" s="188">
        <f>F860*1.04</f>
        <v>5.3755520000000008E-2</v>
      </c>
      <c r="G861" s="188">
        <v>0</v>
      </c>
      <c r="H861" s="188">
        <v>0</v>
      </c>
      <c r="I861" s="188">
        <v>0</v>
      </c>
      <c r="J861" s="188">
        <v>0</v>
      </c>
      <c r="K861" s="261">
        <f t="shared" si="365"/>
        <v>5.3755520000000008E-2</v>
      </c>
      <c r="L861" s="94"/>
      <c r="M861" s="50"/>
      <c r="N861" s="95"/>
      <c r="O861" s="701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/>
      <c r="BB861" s="65"/>
      <c r="BC861" s="65"/>
      <c r="BD861" s="65"/>
      <c r="BE861" s="66"/>
    </row>
    <row r="862" spans="1:57" s="48" customFormat="1" ht="14.25" customHeight="1" x14ac:dyDescent="0.2">
      <c r="A862" s="717"/>
      <c r="B862" s="701"/>
      <c r="C862" s="756"/>
      <c r="D862" s="189">
        <v>2028</v>
      </c>
      <c r="E862" s="188">
        <f t="shared" si="367"/>
        <v>5.5905740800000013E-2</v>
      </c>
      <c r="F862" s="188">
        <f>F861*1.04</f>
        <v>5.5905740800000013E-2</v>
      </c>
      <c r="G862" s="188">
        <v>0</v>
      </c>
      <c r="H862" s="188">
        <v>0</v>
      </c>
      <c r="I862" s="188">
        <v>0</v>
      </c>
      <c r="J862" s="188">
        <v>0</v>
      </c>
      <c r="K862" s="261">
        <f t="shared" si="365"/>
        <v>5.5905740800000013E-2</v>
      </c>
      <c r="L862" s="94"/>
      <c r="M862" s="50"/>
      <c r="N862" s="95"/>
      <c r="O862" s="701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  <c r="BC862" s="65"/>
      <c r="BD862" s="65"/>
      <c r="BE862" s="66"/>
    </row>
    <row r="863" spans="1:57" s="48" customFormat="1" ht="14.25" customHeight="1" x14ac:dyDescent="0.2">
      <c r="A863" s="717"/>
      <c r="B863" s="701"/>
      <c r="C863" s="756"/>
      <c r="D863" s="189">
        <v>2029</v>
      </c>
      <c r="E863" s="188">
        <f t="shared" si="367"/>
        <v>5.8141970432000013E-2</v>
      </c>
      <c r="F863" s="188">
        <f>F862*1.04</f>
        <v>5.8141970432000013E-2</v>
      </c>
      <c r="G863" s="188">
        <v>0</v>
      </c>
      <c r="H863" s="188">
        <v>0</v>
      </c>
      <c r="I863" s="188">
        <v>0</v>
      </c>
      <c r="J863" s="188">
        <v>0</v>
      </c>
      <c r="K863" s="261">
        <f t="shared" si="365"/>
        <v>5.8141970432000013E-2</v>
      </c>
      <c r="L863" s="94"/>
      <c r="M863" s="50"/>
      <c r="N863" s="95"/>
      <c r="O863" s="701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6"/>
    </row>
    <row r="864" spans="1:57" s="48" customFormat="1" ht="14.25" customHeight="1" x14ac:dyDescent="0.2">
      <c r="A864" s="734"/>
      <c r="B864" s="702"/>
      <c r="C864" s="757"/>
      <c r="D864" s="189">
        <v>2030</v>
      </c>
      <c r="E864" s="188">
        <f t="shared" si="367"/>
        <v>6.0467649249280019E-2</v>
      </c>
      <c r="F864" s="188">
        <f>F863*1.04</f>
        <v>6.0467649249280019E-2</v>
      </c>
      <c r="G864" s="188">
        <v>0</v>
      </c>
      <c r="H864" s="188">
        <v>0</v>
      </c>
      <c r="I864" s="188">
        <v>0</v>
      </c>
      <c r="J864" s="188">
        <v>0</v>
      </c>
      <c r="K864" s="261">
        <f t="shared" si="365"/>
        <v>6.0467649249280019E-2</v>
      </c>
      <c r="L864" s="94"/>
      <c r="M864" s="50"/>
      <c r="N864" s="95"/>
      <c r="O864" s="701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/>
      <c r="BB864" s="65"/>
      <c r="BC864" s="65"/>
      <c r="BD864" s="65"/>
      <c r="BE864" s="66"/>
    </row>
    <row r="865" spans="1:57" s="48" customFormat="1" x14ac:dyDescent="0.2">
      <c r="A865" s="662" t="s">
        <v>762</v>
      </c>
      <c r="B865" s="631" t="s">
        <v>763</v>
      </c>
      <c r="C865" s="758"/>
      <c r="D865" s="46" t="s">
        <v>198</v>
      </c>
      <c r="E865" s="47">
        <f>SUM(E866:E877)</f>
        <v>0</v>
      </c>
      <c r="F865" s="47">
        <f t="shared" ref="F865:J865" si="368">SUM(F866:F877)</f>
        <v>0</v>
      </c>
      <c r="G865" s="47">
        <f t="shared" si="368"/>
        <v>0</v>
      </c>
      <c r="H865" s="47">
        <f t="shared" si="368"/>
        <v>0</v>
      </c>
      <c r="I865" s="47">
        <f t="shared" si="368"/>
        <v>0</v>
      </c>
      <c r="J865" s="47">
        <f t="shared" si="368"/>
        <v>0</v>
      </c>
      <c r="K865" s="261">
        <f t="shared" si="365"/>
        <v>0</v>
      </c>
      <c r="L865" s="94"/>
      <c r="M865" s="50"/>
      <c r="N865" s="95"/>
      <c r="O865" s="678" t="s">
        <v>739</v>
      </c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6"/>
    </row>
    <row r="866" spans="1:57" s="48" customFormat="1" ht="14.25" customHeight="1" x14ac:dyDescent="0.2">
      <c r="A866" s="717"/>
      <c r="B866" s="701"/>
      <c r="C866" s="701"/>
      <c r="D866" s="189">
        <v>2019</v>
      </c>
      <c r="E866" s="188">
        <f>F866+G866+H866+I866+J866</f>
        <v>0</v>
      </c>
      <c r="F866" s="188">
        <v>0</v>
      </c>
      <c r="G866" s="188">
        <v>0</v>
      </c>
      <c r="H866" s="188">
        <v>0</v>
      </c>
      <c r="I866" s="188">
        <v>0</v>
      </c>
      <c r="J866" s="188">
        <v>0</v>
      </c>
      <c r="K866" s="261">
        <f t="shared" si="365"/>
        <v>0</v>
      </c>
      <c r="L866" s="94"/>
      <c r="M866" s="50"/>
      <c r="N866" s="95"/>
      <c r="O866" s="678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6"/>
    </row>
    <row r="867" spans="1:57" s="48" customFormat="1" ht="14.25" customHeight="1" x14ac:dyDescent="0.2">
      <c r="A867" s="717"/>
      <c r="B867" s="701"/>
      <c r="C867" s="701"/>
      <c r="D867" s="189">
        <v>2020</v>
      </c>
      <c r="E867" s="188">
        <f t="shared" ref="E867:E877" si="369">F867+G867+H867+I867+J867</f>
        <v>0</v>
      </c>
      <c r="F867" s="188">
        <v>0</v>
      </c>
      <c r="G867" s="188">
        <v>0</v>
      </c>
      <c r="H867" s="188">
        <v>0</v>
      </c>
      <c r="I867" s="188">
        <v>0</v>
      </c>
      <c r="J867" s="188">
        <v>0</v>
      </c>
      <c r="K867" s="261">
        <f t="shared" si="365"/>
        <v>0</v>
      </c>
      <c r="L867" s="94"/>
      <c r="M867" s="50"/>
      <c r="N867" s="95"/>
      <c r="O867" s="678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6"/>
    </row>
    <row r="868" spans="1:57" s="48" customFormat="1" ht="14.25" customHeight="1" x14ac:dyDescent="0.2">
      <c r="A868" s="717"/>
      <c r="B868" s="701"/>
      <c r="C868" s="701"/>
      <c r="D868" s="189">
        <v>2021</v>
      </c>
      <c r="E868" s="188">
        <f t="shared" si="369"/>
        <v>0</v>
      </c>
      <c r="F868" s="188">
        <v>0</v>
      </c>
      <c r="G868" s="188">
        <v>0</v>
      </c>
      <c r="H868" s="188">
        <v>0</v>
      </c>
      <c r="I868" s="188">
        <v>0</v>
      </c>
      <c r="J868" s="188">
        <v>0</v>
      </c>
      <c r="K868" s="261">
        <f t="shared" si="365"/>
        <v>0</v>
      </c>
      <c r="L868" s="94"/>
      <c r="M868" s="50"/>
      <c r="N868" s="95"/>
      <c r="O868" s="678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/>
      <c r="BB868" s="65"/>
      <c r="BC868" s="65"/>
      <c r="BD868" s="65"/>
      <c r="BE868" s="66"/>
    </row>
    <row r="869" spans="1:57" s="48" customFormat="1" ht="14.25" customHeight="1" x14ac:dyDescent="0.2">
      <c r="A869" s="717"/>
      <c r="B869" s="701"/>
      <c r="C869" s="701"/>
      <c r="D869" s="189">
        <v>2022</v>
      </c>
      <c r="E869" s="188">
        <f t="shared" si="369"/>
        <v>0</v>
      </c>
      <c r="F869" s="188">
        <v>0</v>
      </c>
      <c r="G869" s="188">
        <v>0</v>
      </c>
      <c r="H869" s="188">
        <v>0</v>
      </c>
      <c r="I869" s="188">
        <v>0</v>
      </c>
      <c r="J869" s="188">
        <v>0</v>
      </c>
      <c r="K869" s="261">
        <f t="shared" si="365"/>
        <v>0</v>
      </c>
      <c r="L869" s="94"/>
      <c r="M869" s="50"/>
      <c r="N869" s="95"/>
      <c r="O869" s="678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6"/>
    </row>
    <row r="870" spans="1:57" s="48" customFormat="1" ht="14.25" customHeight="1" x14ac:dyDescent="0.2">
      <c r="A870" s="717"/>
      <c r="B870" s="701"/>
      <c r="C870" s="701"/>
      <c r="D870" s="189">
        <v>2023</v>
      </c>
      <c r="E870" s="188">
        <f t="shared" si="369"/>
        <v>0</v>
      </c>
      <c r="F870" s="188">
        <v>0</v>
      </c>
      <c r="G870" s="188">
        <v>0</v>
      </c>
      <c r="H870" s="188">
        <v>0</v>
      </c>
      <c r="I870" s="188">
        <v>0</v>
      </c>
      <c r="J870" s="188">
        <v>0</v>
      </c>
      <c r="K870" s="261">
        <f t="shared" si="365"/>
        <v>0</v>
      </c>
      <c r="L870" s="94"/>
      <c r="M870" s="50"/>
      <c r="N870" s="95"/>
      <c r="O870" s="678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/>
      <c r="BB870" s="65"/>
      <c r="BC870" s="65"/>
      <c r="BD870" s="65"/>
      <c r="BE870" s="66"/>
    </row>
    <row r="871" spans="1:57" s="48" customFormat="1" ht="14.25" customHeight="1" x14ac:dyDescent="0.2">
      <c r="A871" s="717"/>
      <c r="B871" s="701"/>
      <c r="C871" s="701"/>
      <c r="D871" s="189">
        <v>2024</v>
      </c>
      <c r="E871" s="188">
        <f t="shared" si="369"/>
        <v>0</v>
      </c>
      <c r="F871" s="188">
        <v>0</v>
      </c>
      <c r="G871" s="188">
        <v>0</v>
      </c>
      <c r="H871" s="188">
        <v>0</v>
      </c>
      <c r="I871" s="188">
        <v>0</v>
      </c>
      <c r="J871" s="188">
        <v>0</v>
      </c>
      <c r="K871" s="261">
        <f t="shared" si="365"/>
        <v>0</v>
      </c>
      <c r="L871" s="94"/>
      <c r="M871" s="50"/>
      <c r="N871" s="95"/>
      <c r="O871" s="678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/>
      <c r="BB871" s="65"/>
      <c r="BC871" s="65"/>
      <c r="BD871" s="65"/>
      <c r="BE871" s="66"/>
    </row>
    <row r="872" spans="1:57" s="48" customFormat="1" ht="14.25" customHeight="1" x14ac:dyDescent="0.2">
      <c r="A872" s="717"/>
      <c r="B872" s="701"/>
      <c r="C872" s="701"/>
      <c r="D872" s="189">
        <v>2025</v>
      </c>
      <c r="E872" s="188">
        <f t="shared" si="369"/>
        <v>0</v>
      </c>
      <c r="F872" s="188">
        <v>0</v>
      </c>
      <c r="G872" s="188">
        <v>0</v>
      </c>
      <c r="H872" s="188">
        <v>0</v>
      </c>
      <c r="I872" s="188">
        <v>0</v>
      </c>
      <c r="J872" s="188">
        <v>0</v>
      </c>
      <c r="K872" s="261">
        <f t="shared" si="365"/>
        <v>0</v>
      </c>
      <c r="L872" s="94"/>
      <c r="M872" s="50"/>
      <c r="N872" s="95"/>
      <c r="O872" s="678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6"/>
    </row>
    <row r="873" spans="1:57" s="48" customFormat="1" ht="14.25" customHeight="1" x14ac:dyDescent="0.2">
      <c r="A873" s="717"/>
      <c r="B873" s="701"/>
      <c r="C873" s="701"/>
      <c r="D873" s="189">
        <v>2026</v>
      </c>
      <c r="E873" s="188">
        <f t="shared" si="369"/>
        <v>0</v>
      </c>
      <c r="F873" s="188">
        <v>0</v>
      </c>
      <c r="G873" s="188">
        <v>0</v>
      </c>
      <c r="H873" s="188">
        <v>0</v>
      </c>
      <c r="I873" s="188">
        <v>0</v>
      </c>
      <c r="J873" s="188">
        <v>0</v>
      </c>
      <c r="K873" s="261">
        <f t="shared" si="365"/>
        <v>0</v>
      </c>
      <c r="L873" s="94"/>
      <c r="M873" s="50"/>
      <c r="N873" s="95"/>
      <c r="O873" s="678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6"/>
    </row>
    <row r="874" spans="1:57" s="48" customFormat="1" ht="14.25" customHeight="1" x14ac:dyDescent="0.2">
      <c r="A874" s="717"/>
      <c r="B874" s="701"/>
      <c r="C874" s="701"/>
      <c r="D874" s="189">
        <v>2027</v>
      </c>
      <c r="E874" s="188">
        <f t="shared" si="369"/>
        <v>0</v>
      </c>
      <c r="F874" s="188">
        <v>0</v>
      </c>
      <c r="G874" s="188">
        <v>0</v>
      </c>
      <c r="H874" s="188">
        <v>0</v>
      </c>
      <c r="I874" s="188">
        <v>0</v>
      </c>
      <c r="J874" s="188">
        <v>0</v>
      </c>
      <c r="K874" s="261">
        <f t="shared" si="365"/>
        <v>0</v>
      </c>
      <c r="L874" s="94"/>
      <c r="M874" s="50"/>
      <c r="N874" s="95"/>
      <c r="O874" s="678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/>
      <c r="BB874" s="65"/>
      <c r="BC874" s="65"/>
      <c r="BD874" s="65"/>
      <c r="BE874" s="66"/>
    </row>
    <row r="875" spans="1:57" s="48" customFormat="1" ht="14.25" customHeight="1" x14ac:dyDescent="0.2">
      <c r="A875" s="717"/>
      <c r="B875" s="701"/>
      <c r="C875" s="701"/>
      <c r="D875" s="189">
        <v>2028</v>
      </c>
      <c r="E875" s="188">
        <f t="shared" si="369"/>
        <v>0</v>
      </c>
      <c r="F875" s="188">
        <v>0</v>
      </c>
      <c r="G875" s="188">
        <v>0</v>
      </c>
      <c r="H875" s="188">
        <v>0</v>
      </c>
      <c r="I875" s="188">
        <v>0</v>
      </c>
      <c r="J875" s="188">
        <v>0</v>
      </c>
      <c r="K875" s="261">
        <f t="shared" si="365"/>
        <v>0</v>
      </c>
      <c r="L875" s="94"/>
      <c r="M875" s="50"/>
      <c r="N875" s="95"/>
      <c r="O875" s="678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6"/>
    </row>
    <row r="876" spans="1:57" s="48" customFormat="1" ht="14.25" customHeight="1" x14ac:dyDescent="0.2">
      <c r="A876" s="717"/>
      <c r="B876" s="701"/>
      <c r="C876" s="701"/>
      <c r="D876" s="189">
        <v>2029</v>
      </c>
      <c r="E876" s="188">
        <f t="shared" si="369"/>
        <v>0</v>
      </c>
      <c r="F876" s="188">
        <v>0</v>
      </c>
      <c r="G876" s="188">
        <v>0</v>
      </c>
      <c r="H876" s="188">
        <v>0</v>
      </c>
      <c r="I876" s="188">
        <v>0</v>
      </c>
      <c r="J876" s="188">
        <v>0</v>
      </c>
      <c r="K876" s="261">
        <f t="shared" si="365"/>
        <v>0</v>
      </c>
      <c r="L876" s="94"/>
      <c r="M876" s="50"/>
      <c r="N876" s="95"/>
      <c r="O876" s="678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/>
      <c r="BB876" s="65"/>
      <c r="BC876" s="65"/>
      <c r="BD876" s="65"/>
      <c r="BE876" s="66"/>
    </row>
    <row r="877" spans="1:57" s="48" customFormat="1" ht="14.25" customHeight="1" x14ac:dyDescent="0.2">
      <c r="A877" s="734"/>
      <c r="B877" s="702"/>
      <c r="C877" s="702"/>
      <c r="D877" s="189">
        <v>2030</v>
      </c>
      <c r="E877" s="188">
        <f t="shared" si="369"/>
        <v>0</v>
      </c>
      <c r="F877" s="188">
        <v>0</v>
      </c>
      <c r="G877" s="188">
        <v>0</v>
      </c>
      <c r="H877" s="188">
        <v>0</v>
      </c>
      <c r="I877" s="188">
        <v>0</v>
      </c>
      <c r="J877" s="188">
        <v>0</v>
      </c>
      <c r="K877" s="261">
        <f t="shared" si="365"/>
        <v>0</v>
      </c>
      <c r="L877" s="94"/>
      <c r="M877" s="50"/>
      <c r="N877" s="95"/>
      <c r="O877" s="678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  <c r="BC877" s="65"/>
      <c r="BD877" s="65"/>
      <c r="BE877" s="66"/>
    </row>
    <row r="878" spans="1:57" s="48" customFormat="1" ht="14.25" customHeight="1" x14ac:dyDescent="0.2">
      <c r="A878" s="750" t="s">
        <v>698</v>
      </c>
      <c r="B878" s="649" t="s">
        <v>612</v>
      </c>
      <c r="C878" s="739"/>
      <c r="D878" s="46" t="s">
        <v>198</v>
      </c>
      <c r="E878" s="47">
        <f>E891</f>
        <v>0.63089999999999991</v>
      </c>
      <c r="F878" s="47">
        <f>F891</f>
        <v>0.63089999999999991</v>
      </c>
      <c r="G878" s="47">
        <f t="shared" ref="E878:J890" si="370">G891</f>
        <v>0</v>
      </c>
      <c r="H878" s="47">
        <f t="shared" si="370"/>
        <v>0</v>
      </c>
      <c r="I878" s="47">
        <f t="shared" si="370"/>
        <v>0</v>
      </c>
      <c r="J878" s="47">
        <f t="shared" si="370"/>
        <v>0</v>
      </c>
      <c r="K878" s="261">
        <f t="shared" si="365"/>
        <v>0.63089999999999991</v>
      </c>
      <c r="L878" s="94"/>
      <c r="M878" s="50"/>
      <c r="N878" s="95"/>
      <c r="O878" s="196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/>
      <c r="BB878" s="65"/>
      <c r="BC878" s="65"/>
      <c r="BD878" s="65"/>
      <c r="BE878" s="66"/>
    </row>
    <row r="879" spans="1:57" s="48" customFormat="1" ht="14.25" customHeight="1" x14ac:dyDescent="0.25">
      <c r="A879" s="717"/>
      <c r="B879" s="701"/>
      <c r="C879" s="701"/>
      <c r="D879" s="189">
        <v>2019</v>
      </c>
      <c r="E879" s="188">
        <f>F879+G879+H879+I879+J879</f>
        <v>4.4999999999999998E-2</v>
      </c>
      <c r="F879" s="188">
        <f t="shared" ref="F879:F885" si="371">F892</f>
        <v>4.4999999999999998E-2</v>
      </c>
      <c r="G879" s="188">
        <f t="shared" si="370"/>
        <v>0</v>
      </c>
      <c r="H879" s="188">
        <f t="shared" si="370"/>
        <v>0</v>
      </c>
      <c r="I879" s="188">
        <f t="shared" si="370"/>
        <v>0</v>
      </c>
      <c r="J879" s="188">
        <f t="shared" si="370"/>
        <v>0</v>
      </c>
      <c r="K879" s="261">
        <f t="shared" si="365"/>
        <v>4.4999999999999998E-2</v>
      </c>
      <c r="L879" s="253"/>
      <c r="M879" s="50"/>
      <c r="N879" s="95"/>
      <c r="O879" s="196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6"/>
    </row>
    <row r="880" spans="1:57" s="48" customFormat="1" ht="14.25" customHeight="1" x14ac:dyDescent="0.2">
      <c r="A880" s="717"/>
      <c r="B880" s="701"/>
      <c r="C880" s="701"/>
      <c r="D880" s="189">
        <v>2020</v>
      </c>
      <c r="E880" s="188">
        <f t="shared" si="370"/>
        <v>0.05</v>
      </c>
      <c r="F880" s="188">
        <f t="shared" si="371"/>
        <v>0.05</v>
      </c>
      <c r="G880" s="188">
        <f t="shared" si="370"/>
        <v>0</v>
      </c>
      <c r="H880" s="188">
        <f t="shared" si="370"/>
        <v>0</v>
      </c>
      <c r="I880" s="188">
        <f t="shared" si="370"/>
        <v>0</v>
      </c>
      <c r="J880" s="188">
        <f t="shared" si="370"/>
        <v>0</v>
      </c>
      <c r="K880" s="261">
        <f t="shared" si="365"/>
        <v>0.05</v>
      </c>
      <c r="L880" s="254"/>
      <c r="M880" s="50"/>
      <c r="N880" s="95"/>
      <c r="O880" s="196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/>
      <c r="BB880" s="65"/>
      <c r="BC880" s="65"/>
      <c r="BD880" s="65"/>
      <c r="BE880" s="66"/>
    </row>
    <row r="881" spans="1:57" s="48" customFormat="1" ht="14.25" customHeight="1" x14ac:dyDescent="0.2">
      <c r="A881" s="717"/>
      <c r="B881" s="701"/>
      <c r="C881" s="701"/>
      <c r="D881" s="189">
        <v>2021</v>
      </c>
      <c r="E881" s="188">
        <f t="shared" si="370"/>
        <v>5.1999999999999998E-2</v>
      </c>
      <c r="F881" s="188">
        <f t="shared" si="371"/>
        <v>5.1999999999999998E-2</v>
      </c>
      <c r="G881" s="188">
        <f t="shared" si="370"/>
        <v>0</v>
      </c>
      <c r="H881" s="188">
        <f t="shared" si="370"/>
        <v>0</v>
      </c>
      <c r="I881" s="188">
        <f t="shared" si="370"/>
        <v>0</v>
      </c>
      <c r="J881" s="188">
        <f t="shared" si="370"/>
        <v>0</v>
      </c>
      <c r="K881" s="261">
        <f t="shared" si="365"/>
        <v>5.1999999999999998E-2</v>
      </c>
      <c r="L881" s="94"/>
      <c r="M881" s="50"/>
      <c r="N881" s="95"/>
      <c r="O881" s="196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  <c r="BC881" s="65"/>
      <c r="BD881" s="65"/>
      <c r="BE881" s="66"/>
    </row>
    <row r="882" spans="1:57" s="48" customFormat="1" ht="14.25" customHeight="1" x14ac:dyDescent="0.2">
      <c r="A882" s="717"/>
      <c r="B882" s="701"/>
      <c r="C882" s="701"/>
      <c r="D882" s="189">
        <v>2022</v>
      </c>
      <c r="E882" s="188">
        <f t="shared" si="370"/>
        <v>5.1999999999999998E-2</v>
      </c>
      <c r="F882" s="188">
        <f t="shared" si="371"/>
        <v>5.1999999999999998E-2</v>
      </c>
      <c r="G882" s="188">
        <f t="shared" si="370"/>
        <v>0</v>
      </c>
      <c r="H882" s="188">
        <f t="shared" si="370"/>
        <v>0</v>
      </c>
      <c r="I882" s="188">
        <f t="shared" si="370"/>
        <v>0</v>
      </c>
      <c r="J882" s="188">
        <f t="shared" si="370"/>
        <v>0</v>
      </c>
      <c r="K882" s="261">
        <f t="shared" si="365"/>
        <v>5.1999999999999998E-2</v>
      </c>
      <c r="L882" s="94"/>
      <c r="M882" s="50"/>
      <c r="N882" s="95"/>
      <c r="O882" s="196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/>
      <c r="BB882" s="65"/>
      <c r="BC882" s="65"/>
      <c r="BD882" s="65"/>
      <c r="BE882" s="66"/>
    </row>
    <row r="883" spans="1:57" s="48" customFormat="1" ht="14.25" customHeight="1" x14ac:dyDescent="0.2">
      <c r="A883" s="717"/>
      <c r="B883" s="701"/>
      <c r="C883" s="701"/>
      <c r="D883" s="189">
        <v>2023</v>
      </c>
      <c r="E883" s="188">
        <f t="shared" si="370"/>
        <v>0.05</v>
      </c>
      <c r="F883" s="188">
        <f t="shared" si="371"/>
        <v>0.05</v>
      </c>
      <c r="G883" s="188">
        <f t="shared" si="370"/>
        <v>0</v>
      </c>
      <c r="H883" s="188">
        <f t="shared" si="370"/>
        <v>0</v>
      </c>
      <c r="I883" s="188">
        <f t="shared" si="370"/>
        <v>0</v>
      </c>
      <c r="J883" s="188">
        <f t="shared" si="370"/>
        <v>0</v>
      </c>
      <c r="K883" s="261">
        <f t="shared" si="365"/>
        <v>0.05</v>
      </c>
      <c r="L883" s="94"/>
      <c r="M883" s="50"/>
      <c r="N883" s="95"/>
      <c r="O883" s="196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  <c r="BC883" s="65"/>
      <c r="BD883" s="65"/>
      <c r="BE883" s="66"/>
    </row>
    <row r="884" spans="1:57" s="48" customFormat="1" ht="14.25" customHeight="1" x14ac:dyDescent="0.2">
      <c r="A884" s="717"/>
      <c r="B884" s="701"/>
      <c r="C884" s="701"/>
      <c r="D884" s="189">
        <v>2024</v>
      </c>
      <c r="E884" s="188">
        <f t="shared" si="370"/>
        <v>0.05</v>
      </c>
      <c r="F884" s="188">
        <f t="shared" si="371"/>
        <v>0.05</v>
      </c>
      <c r="G884" s="188">
        <f t="shared" si="370"/>
        <v>0</v>
      </c>
      <c r="H884" s="188">
        <f t="shared" si="370"/>
        <v>0</v>
      </c>
      <c r="I884" s="188">
        <f t="shared" si="370"/>
        <v>0</v>
      </c>
      <c r="J884" s="188">
        <f t="shared" si="370"/>
        <v>0</v>
      </c>
      <c r="K884" s="261">
        <f t="shared" si="365"/>
        <v>0.05</v>
      </c>
      <c r="L884" s="94"/>
      <c r="M884" s="50"/>
      <c r="N884" s="95"/>
      <c r="O884" s="196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/>
      <c r="BB884" s="65"/>
      <c r="BC884" s="65"/>
      <c r="BD884" s="65"/>
      <c r="BE884" s="66"/>
    </row>
    <row r="885" spans="1:57" s="48" customFormat="1" ht="14.25" customHeight="1" x14ac:dyDescent="0.2">
      <c r="A885" s="717"/>
      <c r="B885" s="701"/>
      <c r="C885" s="701"/>
      <c r="D885" s="189">
        <v>2025</v>
      </c>
      <c r="E885" s="188">
        <f t="shared" si="370"/>
        <v>0.05</v>
      </c>
      <c r="F885" s="188">
        <f t="shared" si="371"/>
        <v>0.05</v>
      </c>
      <c r="G885" s="188">
        <f t="shared" si="370"/>
        <v>0</v>
      </c>
      <c r="H885" s="188">
        <f t="shared" si="370"/>
        <v>0</v>
      </c>
      <c r="I885" s="188">
        <f t="shared" si="370"/>
        <v>0</v>
      </c>
      <c r="J885" s="188">
        <f t="shared" si="370"/>
        <v>0</v>
      </c>
      <c r="K885" s="261">
        <f t="shared" si="365"/>
        <v>0.05</v>
      </c>
      <c r="L885" s="94"/>
      <c r="M885" s="50"/>
      <c r="N885" s="95"/>
      <c r="O885" s="196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/>
      <c r="BB885" s="65"/>
      <c r="BC885" s="65"/>
      <c r="BD885" s="65"/>
      <c r="BE885" s="66"/>
    </row>
    <row r="886" spans="1:57" s="48" customFormat="1" ht="14.25" customHeight="1" x14ac:dyDescent="0.2">
      <c r="A886" s="717"/>
      <c r="B886" s="701"/>
      <c r="C886" s="701"/>
      <c r="D886" s="189">
        <v>2026</v>
      </c>
      <c r="E886" s="188">
        <f t="shared" si="370"/>
        <v>5.1999999999999998E-2</v>
      </c>
      <c r="F886" s="188">
        <v>5.1999999999999998E-2</v>
      </c>
      <c r="G886" s="188">
        <f t="shared" si="370"/>
        <v>0</v>
      </c>
      <c r="H886" s="188">
        <f t="shared" si="370"/>
        <v>0</v>
      </c>
      <c r="I886" s="188">
        <f t="shared" si="370"/>
        <v>0</v>
      </c>
      <c r="J886" s="188">
        <f t="shared" si="370"/>
        <v>0</v>
      </c>
      <c r="K886" s="261">
        <f t="shared" si="365"/>
        <v>5.1999999999999998E-2</v>
      </c>
      <c r="L886" s="94"/>
      <c r="M886" s="50"/>
      <c r="N886" s="95"/>
      <c r="O886" s="196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65"/>
      <c r="BD886" s="65"/>
      <c r="BE886" s="66"/>
    </row>
    <row r="887" spans="1:57" s="48" customFormat="1" ht="14.25" customHeight="1" x14ac:dyDescent="0.2">
      <c r="A887" s="717"/>
      <c r="B887" s="701"/>
      <c r="C887" s="701"/>
      <c r="D887" s="189">
        <v>2027</v>
      </c>
      <c r="E887" s="188">
        <f t="shared" si="370"/>
        <v>5.4100000000000002E-2</v>
      </c>
      <c r="F887" s="188">
        <v>5.4100000000000002E-2</v>
      </c>
      <c r="G887" s="188">
        <f t="shared" si="370"/>
        <v>0</v>
      </c>
      <c r="H887" s="188">
        <f t="shared" si="370"/>
        <v>0</v>
      </c>
      <c r="I887" s="188">
        <f t="shared" si="370"/>
        <v>0</v>
      </c>
      <c r="J887" s="188">
        <f t="shared" si="370"/>
        <v>0</v>
      </c>
      <c r="K887" s="261">
        <f t="shared" si="365"/>
        <v>5.4100000000000002E-2</v>
      </c>
      <c r="L887" s="94"/>
      <c r="M887" s="50"/>
      <c r="N887" s="95"/>
      <c r="O887" s="196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/>
      <c r="BB887" s="65"/>
      <c r="BC887" s="65"/>
      <c r="BD887" s="65"/>
      <c r="BE887" s="66"/>
    </row>
    <row r="888" spans="1:57" s="48" customFormat="1" ht="14.25" customHeight="1" x14ac:dyDescent="0.2">
      <c r="A888" s="717"/>
      <c r="B888" s="701"/>
      <c r="C888" s="701"/>
      <c r="D888" s="189">
        <v>2028</v>
      </c>
      <c r="E888" s="188">
        <f t="shared" si="370"/>
        <v>5.6300000000000003E-2</v>
      </c>
      <c r="F888" s="188">
        <v>5.6300000000000003E-2</v>
      </c>
      <c r="G888" s="188">
        <f t="shared" si="370"/>
        <v>0</v>
      </c>
      <c r="H888" s="188">
        <f t="shared" si="370"/>
        <v>0</v>
      </c>
      <c r="I888" s="188">
        <f t="shared" si="370"/>
        <v>0</v>
      </c>
      <c r="J888" s="188">
        <f t="shared" si="370"/>
        <v>0</v>
      </c>
      <c r="K888" s="261">
        <f t="shared" si="365"/>
        <v>5.6300000000000003E-2</v>
      </c>
      <c r="L888" s="94"/>
      <c r="M888" s="50"/>
      <c r="N888" s="95"/>
      <c r="O888" s="196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/>
      <c r="BB888" s="65"/>
      <c r="BC888" s="65"/>
      <c r="BD888" s="65"/>
      <c r="BE888" s="66"/>
    </row>
    <row r="889" spans="1:57" s="48" customFormat="1" ht="14.25" customHeight="1" x14ac:dyDescent="0.2">
      <c r="A889" s="717"/>
      <c r="B889" s="701"/>
      <c r="C889" s="701"/>
      <c r="D889" s="189">
        <v>2029</v>
      </c>
      <c r="E889" s="188">
        <f t="shared" si="370"/>
        <v>5.8599999999999999E-2</v>
      </c>
      <c r="F889" s="188">
        <v>5.8599999999999999E-2</v>
      </c>
      <c r="G889" s="188">
        <f t="shared" si="370"/>
        <v>0</v>
      </c>
      <c r="H889" s="188">
        <f t="shared" si="370"/>
        <v>0</v>
      </c>
      <c r="I889" s="188">
        <f t="shared" si="370"/>
        <v>0</v>
      </c>
      <c r="J889" s="188">
        <f t="shared" si="370"/>
        <v>0</v>
      </c>
      <c r="K889" s="261">
        <f t="shared" si="365"/>
        <v>5.8599999999999999E-2</v>
      </c>
      <c r="L889" s="94"/>
      <c r="M889" s="50"/>
      <c r="N889" s="95"/>
      <c r="O889" s="196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/>
      <c r="BB889" s="65"/>
      <c r="BC889" s="65"/>
      <c r="BD889" s="65"/>
      <c r="BE889" s="66"/>
    </row>
    <row r="890" spans="1:57" s="48" customFormat="1" ht="14.25" customHeight="1" x14ac:dyDescent="0.2">
      <c r="A890" s="734"/>
      <c r="B890" s="702"/>
      <c r="C890" s="702"/>
      <c r="D890" s="189">
        <v>2030</v>
      </c>
      <c r="E890" s="188">
        <f t="shared" si="370"/>
        <v>6.0900000000000003E-2</v>
      </c>
      <c r="F890" s="188">
        <v>6.0900000000000003E-2</v>
      </c>
      <c r="G890" s="188">
        <f t="shared" si="370"/>
        <v>0</v>
      </c>
      <c r="H890" s="188">
        <f t="shared" si="370"/>
        <v>0</v>
      </c>
      <c r="I890" s="188">
        <f t="shared" si="370"/>
        <v>0</v>
      </c>
      <c r="J890" s="188">
        <f t="shared" si="370"/>
        <v>0</v>
      </c>
      <c r="K890" s="261">
        <f t="shared" si="365"/>
        <v>6.0900000000000003E-2</v>
      </c>
      <c r="L890" s="94"/>
      <c r="M890" s="50"/>
      <c r="N890" s="95"/>
      <c r="O890" s="196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/>
      <c r="BB890" s="65"/>
      <c r="BC890" s="65"/>
      <c r="BD890" s="65"/>
      <c r="BE890" s="66"/>
    </row>
    <row r="891" spans="1:57" s="48" customFormat="1" ht="14.25" customHeight="1" x14ac:dyDescent="0.2">
      <c r="A891" s="662" t="s">
        <v>756</v>
      </c>
      <c r="B891" s="631" t="s">
        <v>757</v>
      </c>
      <c r="C891" s="143"/>
      <c r="D891" s="46" t="s">
        <v>198</v>
      </c>
      <c r="E891" s="47">
        <f>E892+E893+E894+E895+E896+E897+E898+E899+E900+E901+E902+E903</f>
        <v>0.63089999999999991</v>
      </c>
      <c r="F891" s="47">
        <f>F892+F893+F894+F895+F896+F897+F898+F899+F900+F901+F902+F903</f>
        <v>0.63089999999999991</v>
      </c>
      <c r="G891" s="47">
        <f t="shared" ref="G891:J891" si="372">G892+G893+G894+G895+G896+G897+G898+G899+G900+G901+G902+G903</f>
        <v>0</v>
      </c>
      <c r="H891" s="47">
        <f t="shared" si="372"/>
        <v>0</v>
      </c>
      <c r="I891" s="47">
        <f t="shared" si="372"/>
        <v>0</v>
      </c>
      <c r="J891" s="47">
        <f t="shared" si="372"/>
        <v>0</v>
      </c>
      <c r="K891" s="261">
        <f t="shared" si="365"/>
        <v>0.63089999999999991</v>
      </c>
      <c r="L891" s="94"/>
      <c r="M891" s="50"/>
      <c r="N891" s="95"/>
      <c r="O891" s="746" t="s">
        <v>739</v>
      </c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/>
      <c r="BB891" s="65"/>
      <c r="BC891" s="65"/>
      <c r="BD891" s="65"/>
      <c r="BE891" s="66"/>
    </row>
    <row r="892" spans="1:57" s="48" customFormat="1" ht="14.25" customHeight="1" x14ac:dyDescent="0.2">
      <c r="A892" s="717"/>
      <c r="B892" s="648"/>
      <c r="C892" s="256" t="s">
        <v>738</v>
      </c>
      <c r="D892" s="189">
        <v>2019</v>
      </c>
      <c r="E892" s="188">
        <f>F892+G892+H892+I892+J892</f>
        <v>4.4999999999999998E-2</v>
      </c>
      <c r="F892" s="188">
        <v>4.4999999999999998E-2</v>
      </c>
      <c r="G892" s="188">
        <v>0</v>
      </c>
      <c r="H892" s="188">
        <v>0</v>
      </c>
      <c r="I892" s="188">
        <v>0</v>
      </c>
      <c r="J892" s="188">
        <v>0</v>
      </c>
      <c r="K892" s="261">
        <f t="shared" si="365"/>
        <v>4.4999999999999998E-2</v>
      </c>
      <c r="L892" s="94"/>
      <c r="M892" s="50"/>
      <c r="N892" s="95"/>
      <c r="O892" s="747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6"/>
    </row>
    <row r="893" spans="1:57" s="131" customFormat="1" ht="13.5" customHeight="1" x14ac:dyDescent="0.2">
      <c r="A893" s="717"/>
      <c r="B893" s="648"/>
      <c r="C893" s="739" t="s">
        <v>885</v>
      </c>
      <c r="D893" s="132">
        <v>2020</v>
      </c>
      <c r="E893" s="133">
        <f t="shared" ref="E893:E903" si="373">F893+G893+H893+I893+J893</f>
        <v>0.05</v>
      </c>
      <c r="F893" s="133">
        <v>0.05</v>
      </c>
      <c r="G893" s="133">
        <v>0</v>
      </c>
      <c r="H893" s="133">
        <v>0</v>
      </c>
      <c r="I893" s="133">
        <v>0</v>
      </c>
      <c r="J893" s="133">
        <v>0</v>
      </c>
      <c r="K893" s="136">
        <f t="shared" si="365"/>
        <v>0.05</v>
      </c>
      <c r="L893" s="426"/>
      <c r="M893" s="127"/>
      <c r="N893" s="427"/>
      <c r="O893" s="747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  <c r="AB893" s="129"/>
      <c r="AC893" s="129"/>
      <c r="AD893" s="129"/>
      <c r="AE893" s="129"/>
      <c r="AF893" s="129"/>
      <c r="AG893" s="129"/>
      <c r="AH893" s="129"/>
      <c r="AI893" s="129"/>
      <c r="AJ893" s="129"/>
      <c r="AK893" s="129"/>
      <c r="AL893" s="129"/>
      <c r="AM893" s="129"/>
      <c r="AN893" s="129"/>
      <c r="AO893" s="129"/>
      <c r="AP893" s="129"/>
      <c r="AQ893" s="129"/>
      <c r="AR893" s="129"/>
      <c r="AS893" s="129"/>
      <c r="AT893" s="129"/>
      <c r="AU893" s="129"/>
      <c r="AV893" s="129"/>
      <c r="AW893" s="129"/>
      <c r="AX893" s="129"/>
      <c r="AY893" s="129"/>
      <c r="AZ893" s="129"/>
      <c r="BA893" s="129"/>
      <c r="BB893" s="129"/>
      <c r="BC893" s="129"/>
      <c r="BD893" s="129"/>
      <c r="BE893" s="130"/>
    </row>
    <row r="894" spans="1:57" s="131" customFormat="1" ht="14.25" customHeight="1" x14ac:dyDescent="0.2">
      <c r="A894" s="717"/>
      <c r="B894" s="648"/>
      <c r="C894" s="740"/>
      <c r="D894" s="132">
        <v>2021</v>
      </c>
      <c r="E894" s="133">
        <f t="shared" si="373"/>
        <v>5.1999999999999998E-2</v>
      </c>
      <c r="F894" s="133">
        <v>5.1999999999999998E-2</v>
      </c>
      <c r="G894" s="133">
        <v>0</v>
      </c>
      <c r="H894" s="133">
        <v>0</v>
      </c>
      <c r="I894" s="133">
        <v>0</v>
      </c>
      <c r="J894" s="133">
        <v>0</v>
      </c>
      <c r="K894" s="136">
        <f t="shared" si="365"/>
        <v>5.1999999999999998E-2</v>
      </c>
      <c r="L894" s="426"/>
      <c r="M894" s="127"/>
      <c r="N894" s="427"/>
      <c r="O894" s="747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  <c r="AB894" s="129"/>
      <c r="AC894" s="129"/>
      <c r="AD894" s="129"/>
      <c r="AE894" s="129"/>
      <c r="AF894" s="129"/>
      <c r="AG894" s="129"/>
      <c r="AH894" s="129"/>
      <c r="AI894" s="129"/>
      <c r="AJ894" s="129"/>
      <c r="AK894" s="129"/>
      <c r="AL894" s="129"/>
      <c r="AM894" s="129"/>
      <c r="AN894" s="129"/>
      <c r="AO894" s="129"/>
      <c r="AP894" s="129"/>
      <c r="AQ894" s="129"/>
      <c r="AR894" s="129"/>
      <c r="AS894" s="129"/>
      <c r="AT894" s="129"/>
      <c r="AU894" s="129"/>
      <c r="AV894" s="129"/>
      <c r="AW894" s="129"/>
      <c r="AX894" s="129"/>
      <c r="AY894" s="129"/>
      <c r="AZ894" s="129"/>
      <c r="BA894" s="129"/>
      <c r="BB894" s="129"/>
      <c r="BC894" s="129"/>
      <c r="BD894" s="129"/>
      <c r="BE894" s="130"/>
    </row>
    <row r="895" spans="1:57" s="131" customFormat="1" ht="14.25" customHeight="1" x14ac:dyDescent="0.2">
      <c r="A895" s="717"/>
      <c r="B895" s="648"/>
      <c r="C895" s="740"/>
      <c r="D895" s="132">
        <v>2022</v>
      </c>
      <c r="E895" s="133">
        <f t="shared" si="373"/>
        <v>5.1999999999999998E-2</v>
      </c>
      <c r="F895" s="133">
        <v>5.1999999999999998E-2</v>
      </c>
      <c r="G895" s="133">
        <v>0</v>
      </c>
      <c r="H895" s="133">
        <v>0</v>
      </c>
      <c r="I895" s="133">
        <v>0</v>
      </c>
      <c r="J895" s="133">
        <v>0</v>
      </c>
      <c r="K895" s="136">
        <f t="shared" si="365"/>
        <v>5.1999999999999998E-2</v>
      </c>
      <c r="L895" s="426"/>
      <c r="M895" s="127"/>
      <c r="N895" s="427"/>
      <c r="O895" s="747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  <c r="AB895" s="129"/>
      <c r="AC895" s="129"/>
      <c r="AD895" s="129"/>
      <c r="AE895" s="129"/>
      <c r="AF895" s="129"/>
      <c r="AG895" s="129"/>
      <c r="AH895" s="129"/>
      <c r="AI895" s="129"/>
      <c r="AJ895" s="129"/>
      <c r="AK895" s="129"/>
      <c r="AL895" s="129"/>
      <c r="AM895" s="129"/>
      <c r="AN895" s="129"/>
      <c r="AO895" s="129"/>
      <c r="AP895" s="129"/>
      <c r="AQ895" s="129"/>
      <c r="AR895" s="129"/>
      <c r="AS895" s="129"/>
      <c r="AT895" s="129"/>
      <c r="AU895" s="129"/>
      <c r="AV895" s="129"/>
      <c r="AW895" s="129"/>
      <c r="AX895" s="129"/>
      <c r="AY895" s="129"/>
      <c r="AZ895" s="129"/>
      <c r="BA895" s="129"/>
      <c r="BB895" s="129"/>
      <c r="BC895" s="129"/>
      <c r="BD895" s="129"/>
      <c r="BE895" s="130"/>
    </row>
    <row r="896" spans="1:57" s="48" customFormat="1" ht="14.25" customHeight="1" x14ac:dyDescent="0.2">
      <c r="A896" s="717"/>
      <c r="B896" s="648"/>
      <c r="C896" s="740"/>
      <c r="D896" s="189">
        <v>2023</v>
      </c>
      <c r="E896" s="188">
        <f t="shared" si="373"/>
        <v>0.05</v>
      </c>
      <c r="F896" s="188">
        <v>0.05</v>
      </c>
      <c r="G896" s="188">
        <v>0</v>
      </c>
      <c r="H896" s="188">
        <v>0</v>
      </c>
      <c r="I896" s="188">
        <v>0</v>
      </c>
      <c r="J896" s="188">
        <v>0</v>
      </c>
      <c r="K896" s="261">
        <f t="shared" si="365"/>
        <v>0.05</v>
      </c>
      <c r="L896" s="94"/>
      <c r="M896" s="50"/>
      <c r="N896" s="95"/>
      <c r="O896" s="747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/>
      <c r="BB896" s="65"/>
      <c r="BC896" s="65"/>
      <c r="BD896" s="65"/>
      <c r="BE896" s="66"/>
    </row>
    <row r="897" spans="1:57" s="48" customFormat="1" ht="14.25" customHeight="1" x14ac:dyDescent="0.2">
      <c r="A897" s="717"/>
      <c r="B897" s="648"/>
      <c r="C897" s="740"/>
      <c r="D897" s="189">
        <v>2024</v>
      </c>
      <c r="E897" s="188">
        <f t="shared" si="373"/>
        <v>0.05</v>
      </c>
      <c r="F897" s="188">
        <v>0.05</v>
      </c>
      <c r="G897" s="188">
        <v>0</v>
      </c>
      <c r="H897" s="188">
        <v>0</v>
      </c>
      <c r="I897" s="188">
        <v>0</v>
      </c>
      <c r="J897" s="188">
        <v>0</v>
      </c>
      <c r="K897" s="261">
        <f t="shared" si="365"/>
        <v>0.05</v>
      </c>
      <c r="L897" s="94"/>
      <c r="M897" s="50"/>
      <c r="N897" s="95"/>
      <c r="O897" s="747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  <c r="BC897" s="65"/>
      <c r="BD897" s="65"/>
      <c r="BE897" s="66"/>
    </row>
    <row r="898" spans="1:57" s="48" customFormat="1" ht="14.25" customHeight="1" x14ac:dyDescent="0.2">
      <c r="A898" s="717"/>
      <c r="B898" s="648"/>
      <c r="C898" s="741"/>
      <c r="D898" s="189">
        <v>2025</v>
      </c>
      <c r="E898" s="188">
        <f t="shared" si="373"/>
        <v>0.05</v>
      </c>
      <c r="F898" s="188">
        <v>0.05</v>
      </c>
      <c r="G898" s="188">
        <v>0</v>
      </c>
      <c r="H898" s="188">
        <v>0</v>
      </c>
      <c r="I898" s="188">
        <v>0</v>
      </c>
      <c r="J898" s="188">
        <v>0</v>
      </c>
      <c r="K898" s="261">
        <f t="shared" si="365"/>
        <v>0.05</v>
      </c>
      <c r="L898" s="94"/>
      <c r="M898" s="50"/>
      <c r="N898" s="95"/>
      <c r="O898" s="747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/>
      <c r="BB898" s="65"/>
      <c r="BC898" s="65"/>
      <c r="BD898" s="65"/>
      <c r="BE898" s="66"/>
    </row>
    <row r="899" spans="1:57" s="48" customFormat="1" ht="14.25" customHeight="1" x14ac:dyDescent="0.2">
      <c r="A899" s="717"/>
      <c r="B899" s="648"/>
      <c r="C899" s="739" t="s">
        <v>886</v>
      </c>
      <c r="D899" s="189">
        <v>2026</v>
      </c>
      <c r="E899" s="188">
        <f t="shared" si="373"/>
        <v>5.1999999999999998E-2</v>
      </c>
      <c r="F899" s="188">
        <v>5.1999999999999998E-2</v>
      </c>
      <c r="G899" s="188">
        <v>0</v>
      </c>
      <c r="H899" s="188">
        <v>0</v>
      </c>
      <c r="I899" s="188">
        <v>0</v>
      </c>
      <c r="J899" s="188">
        <v>0</v>
      </c>
      <c r="K899" s="261">
        <f t="shared" si="365"/>
        <v>5.1999999999999998E-2</v>
      </c>
      <c r="L899" s="94"/>
      <c r="M899" s="50"/>
      <c r="N899" s="95"/>
      <c r="O899" s="747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/>
      <c r="BB899" s="65"/>
      <c r="BC899" s="65"/>
      <c r="BD899" s="65"/>
      <c r="BE899" s="66"/>
    </row>
    <row r="900" spans="1:57" s="48" customFormat="1" ht="14.25" customHeight="1" x14ac:dyDescent="0.2">
      <c r="A900" s="717"/>
      <c r="B900" s="648"/>
      <c r="C900" s="701"/>
      <c r="D900" s="189">
        <v>2027</v>
      </c>
      <c r="E900" s="188">
        <f t="shared" si="373"/>
        <v>5.4100000000000002E-2</v>
      </c>
      <c r="F900" s="188">
        <v>5.4100000000000002E-2</v>
      </c>
      <c r="G900" s="188">
        <v>0</v>
      </c>
      <c r="H900" s="188">
        <v>0</v>
      </c>
      <c r="I900" s="188">
        <v>0</v>
      </c>
      <c r="J900" s="188">
        <v>0</v>
      </c>
      <c r="K900" s="261">
        <f t="shared" si="365"/>
        <v>5.4100000000000002E-2</v>
      </c>
      <c r="L900" s="94"/>
      <c r="M900" s="50"/>
      <c r="N900" s="95"/>
      <c r="O900" s="747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/>
      <c r="BB900" s="65"/>
      <c r="BC900" s="65"/>
      <c r="BD900" s="65"/>
      <c r="BE900" s="66"/>
    </row>
    <row r="901" spans="1:57" s="48" customFormat="1" ht="14.25" customHeight="1" x14ac:dyDescent="0.2">
      <c r="A901" s="717"/>
      <c r="B901" s="648"/>
      <c r="C901" s="701"/>
      <c r="D901" s="189">
        <v>2028</v>
      </c>
      <c r="E901" s="188">
        <f t="shared" si="373"/>
        <v>5.6300000000000003E-2</v>
      </c>
      <c r="F901" s="188">
        <v>5.6300000000000003E-2</v>
      </c>
      <c r="G901" s="188">
        <v>0</v>
      </c>
      <c r="H901" s="188">
        <v>0</v>
      </c>
      <c r="I901" s="188">
        <v>0</v>
      </c>
      <c r="J901" s="188">
        <v>0</v>
      </c>
      <c r="K901" s="261">
        <f t="shared" si="365"/>
        <v>5.6300000000000003E-2</v>
      </c>
      <c r="L901" s="94"/>
      <c r="M901" s="50"/>
      <c r="N901" s="95"/>
      <c r="O901" s="747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  <c r="BC901" s="65"/>
      <c r="BD901" s="65"/>
      <c r="BE901" s="66"/>
    </row>
    <row r="902" spans="1:57" s="48" customFormat="1" ht="14.25" customHeight="1" x14ac:dyDescent="0.2">
      <c r="A902" s="717"/>
      <c r="B902" s="648"/>
      <c r="C902" s="701"/>
      <c r="D902" s="189">
        <v>2029</v>
      </c>
      <c r="E902" s="188">
        <f t="shared" si="373"/>
        <v>5.8599999999999999E-2</v>
      </c>
      <c r="F902" s="188">
        <v>5.8599999999999999E-2</v>
      </c>
      <c r="G902" s="188">
        <v>0</v>
      </c>
      <c r="H902" s="188">
        <v>0</v>
      </c>
      <c r="I902" s="188">
        <v>0</v>
      </c>
      <c r="J902" s="188">
        <v>0</v>
      </c>
      <c r="K902" s="261">
        <f t="shared" si="365"/>
        <v>5.8599999999999999E-2</v>
      </c>
      <c r="L902" s="94"/>
      <c r="M902" s="50"/>
      <c r="N902" s="95"/>
      <c r="O902" s="747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/>
      <c r="BB902" s="65"/>
      <c r="BC902" s="65"/>
      <c r="BD902" s="65"/>
      <c r="BE902" s="66"/>
    </row>
    <row r="903" spans="1:57" s="48" customFormat="1" ht="14.25" customHeight="1" x14ac:dyDescent="0.2">
      <c r="A903" s="734"/>
      <c r="B903" s="632"/>
      <c r="C903" s="702"/>
      <c r="D903" s="189">
        <v>2030</v>
      </c>
      <c r="E903" s="188">
        <f t="shared" si="373"/>
        <v>6.0900000000000003E-2</v>
      </c>
      <c r="F903" s="188">
        <v>6.0900000000000003E-2</v>
      </c>
      <c r="G903" s="188">
        <v>0</v>
      </c>
      <c r="H903" s="188">
        <v>0</v>
      </c>
      <c r="I903" s="188">
        <v>0</v>
      </c>
      <c r="J903" s="188">
        <v>0</v>
      </c>
      <c r="K903" s="261">
        <f t="shared" si="365"/>
        <v>6.0900000000000003E-2</v>
      </c>
      <c r="L903" s="94"/>
      <c r="M903" s="50"/>
      <c r="N903" s="95"/>
      <c r="O903" s="748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  <c r="BC903" s="65"/>
      <c r="BD903" s="65"/>
      <c r="BE903" s="66"/>
    </row>
    <row r="904" spans="1:57" s="48" customFormat="1" ht="14.25" customHeight="1" x14ac:dyDescent="0.2">
      <c r="A904" s="750" t="s">
        <v>700</v>
      </c>
      <c r="B904" s="649" t="s">
        <v>169</v>
      </c>
      <c r="C904" s="739"/>
      <c r="D904" s="46" t="s">
        <v>198</v>
      </c>
      <c r="E904" s="47">
        <f>E917</f>
        <v>0.11747</v>
      </c>
      <c r="F904" s="47">
        <f>F905+F906+F907+F908+F909+F910+F911+F912+F913+F914+F915+F916</f>
        <v>0.11747</v>
      </c>
      <c r="G904" s="47">
        <f t="shared" ref="G904:J904" si="374">G917</f>
        <v>0</v>
      </c>
      <c r="H904" s="47">
        <f t="shared" si="374"/>
        <v>0</v>
      </c>
      <c r="I904" s="47">
        <f t="shared" si="374"/>
        <v>0</v>
      </c>
      <c r="J904" s="47">
        <f t="shared" si="374"/>
        <v>0</v>
      </c>
      <c r="K904" s="261">
        <f t="shared" si="365"/>
        <v>0.11747</v>
      </c>
      <c r="L904" s="94"/>
      <c r="M904" s="50"/>
      <c r="N904" s="95"/>
      <c r="O904" s="196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  <c r="BC904" s="65"/>
      <c r="BD904" s="65"/>
      <c r="BE904" s="66"/>
    </row>
    <row r="905" spans="1:57" s="48" customFormat="1" ht="14.25" customHeight="1" x14ac:dyDescent="0.2">
      <c r="A905" s="717"/>
      <c r="B905" s="701"/>
      <c r="C905" s="701"/>
      <c r="D905" s="189">
        <v>2019</v>
      </c>
      <c r="E905" s="188">
        <f t="shared" ref="E905:J916" si="375">E918</f>
        <v>0</v>
      </c>
      <c r="F905" s="188">
        <f t="shared" si="375"/>
        <v>0</v>
      </c>
      <c r="G905" s="188">
        <f t="shared" si="375"/>
        <v>0</v>
      </c>
      <c r="H905" s="188">
        <f t="shared" si="375"/>
        <v>0</v>
      </c>
      <c r="I905" s="188">
        <f t="shared" si="375"/>
        <v>0</v>
      </c>
      <c r="J905" s="188">
        <f t="shared" si="375"/>
        <v>0</v>
      </c>
      <c r="K905" s="261">
        <f t="shared" si="365"/>
        <v>0</v>
      </c>
      <c r="L905" s="94"/>
      <c r="M905" s="50"/>
      <c r="N905" s="95"/>
      <c r="O905" s="196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  <c r="BC905" s="65"/>
      <c r="BD905" s="65"/>
      <c r="BE905" s="66"/>
    </row>
    <row r="906" spans="1:57" s="48" customFormat="1" ht="14.25" customHeight="1" x14ac:dyDescent="0.2">
      <c r="A906" s="717"/>
      <c r="B906" s="701"/>
      <c r="C906" s="701"/>
      <c r="D906" s="189">
        <v>2020</v>
      </c>
      <c r="E906" s="188">
        <f t="shared" si="375"/>
        <v>1.0370000000000001E-2</v>
      </c>
      <c r="F906" s="188">
        <f>F919</f>
        <v>1.0370000000000001E-2</v>
      </c>
      <c r="G906" s="188">
        <f t="shared" si="375"/>
        <v>0</v>
      </c>
      <c r="H906" s="188">
        <f t="shared" si="375"/>
        <v>0</v>
      </c>
      <c r="I906" s="188">
        <f t="shared" si="375"/>
        <v>0</v>
      </c>
      <c r="J906" s="188">
        <f t="shared" si="375"/>
        <v>0</v>
      </c>
      <c r="K906" s="261">
        <f t="shared" si="365"/>
        <v>1.0370000000000001E-2</v>
      </c>
      <c r="L906" s="94"/>
      <c r="M906" s="50"/>
      <c r="N906" s="95"/>
      <c r="O906" s="196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/>
      <c r="BB906" s="65"/>
      <c r="BC906" s="65"/>
      <c r="BD906" s="65"/>
      <c r="BE906" s="66"/>
    </row>
    <row r="907" spans="1:57" s="48" customFormat="1" ht="14.25" customHeight="1" x14ac:dyDescent="0.2">
      <c r="A907" s="717"/>
      <c r="B907" s="701"/>
      <c r="C907" s="701"/>
      <c r="D907" s="189">
        <v>2021</v>
      </c>
      <c r="E907" s="188">
        <f t="shared" si="375"/>
        <v>1.04E-2</v>
      </c>
      <c r="F907" s="317">
        <f t="shared" si="375"/>
        <v>1.04E-2</v>
      </c>
      <c r="G907" s="188">
        <f t="shared" si="375"/>
        <v>0</v>
      </c>
      <c r="H907" s="188">
        <f t="shared" si="375"/>
        <v>0</v>
      </c>
      <c r="I907" s="188">
        <f t="shared" si="375"/>
        <v>0</v>
      </c>
      <c r="J907" s="188">
        <f t="shared" si="375"/>
        <v>0</v>
      </c>
      <c r="K907" s="261">
        <f t="shared" si="365"/>
        <v>1.04E-2</v>
      </c>
      <c r="L907" s="94"/>
      <c r="M907" s="50"/>
      <c r="N907" s="95"/>
      <c r="O907" s="196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/>
      <c r="BB907" s="65"/>
      <c r="BC907" s="65"/>
      <c r="BD907" s="65"/>
      <c r="BE907" s="66"/>
    </row>
    <row r="908" spans="1:57" s="48" customFormat="1" ht="14.25" customHeight="1" x14ac:dyDescent="0.2">
      <c r="A908" s="717"/>
      <c r="B908" s="701"/>
      <c r="C908" s="701"/>
      <c r="D908" s="189">
        <v>2022</v>
      </c>
      <c r="E908" s="188">
        <f t="shared" si="375"/>
        <v>1.04E-2</v>
      </c>
      <c r="F908" s="317">
        <f t="shared" si="375"/>
        <v>1.04E-2</v>
      </c>
      <c r="G908" s="188">
        <f t="shared" si="375"/>
        <v>0</v>
      </c>
      <c r="H908" s="188">
        <f t="shared" si="375"/>
        <v>0</v>
      </c>
      <c r="I908" s="188">
        <f t="shared" si="375"/>
        <v>0</v>
      </c>
      <c r="J908" s="188">
        <f t="shared" si="375"/>
        <v>0</v>
      </c>
      <c r="K908" s="261">
        <f t="shared" si="365"/>
        <v>1.04E-2</v>
      </c>
      <c r="L908" s="94"/>
      <c r="M908" s="50"/>
      <c r="N908" s="95"/>
      <c r="O908" s="196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/>
      <c r="BB908" s="65"/>
      <c r="BC908" s="65"/>
      <c r="BD908" s="65"/>
      <c r="BE908" s="66"/>
    </row>
    <row r="909" spans="1:57" s="48" customFormat="1" ht="14.25" customHeight="1" x14ac:dyDescent="0.2">
      <c r="A909" s="717"/>
      <c r="B909" s="701"/>
      <c r="C909" s="701"/>
      <c r="D909" s="189">
        <v>2023</v>
      </c>
      <c r="E909" s="188">
        <f t="shared" si="375"/>
        <v>0.01</v>
      </c>
      <c r="F909" s="317">
        <f t="shared" si="375"/>
        <v>0.01</v>
      </c>
      <c r="G909" s="188">
        <f t="shared" si="375"/>
        <v>0</v>
      </c>
      <c r="H909" s="188">
        <f t="shared" si="375"/>
        <v>0</v>
      </c>
      <c r="I909" s="188">
        <f t="shared" si="375"/>
        <v>0</v>
      </c>
      <c r="J909" s="188">
        <f t="shared" si="375"/>
        <v>0</v>
      </c>
      <c r="K909" s="261">
        <f t="shared" si="365"/>
        <v>0.01</v>
      </c>
      <c r="L909" s="94"/>
      <c r="M909" s="50"/>
      <c r="N909" s="95"/>
      <c r="O909" s="196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/>
      <c r="BB909" s="65"/>
      <c r="BC909" s="65"/>
      <c r="BD909" s="65"/>
      <c r="BE909" s="66"/>
    </row>
    <row r="910" spans="1:57" s="48" customFormat="1" ht="14.25" customHeight="1" x14ac:dyDescent="0.2">
      <c r="A910" s="717"/>
      <c r="B910" s="701"/>
      <c r="C910" s="701"/>
      <c r="D910" s="189">
        <v>2024</v>
      </c>
      <c r="E910" s="188">
        <f t="shared" si="375"/>
        <v>0.01</v>
      </c>
      <c r="F910" s="317">
        <f t="shared" si="375"/>
        <v>0.01</v>
      </c>
      <c r="G910" s="188">
        <f t="shared" si="375"/>
        <v>0</v>
      </c>
      <c r="H910" s="188">
        <f t="shared" si="375"/>
        <v>0</v>
      </c>
      <c r="I910" s="188">
        <f t="shared" si="375"/>
        <v>0</v>
      </c>
      <c r="J910" s="188">
        <f t="shared" si="375"/>
        <v>0</v>
      </c>
      <c r="K910" s="261">
        <f t="shared" si="365"/>
        <v>0.01</v>
      </c>
      <c r="L910" s="94"/>
      <c r="M910" s="50"/>
      <c r="N910" s="95"/>
      <c r="O910" s="196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/>
      <c r="BB910" s="65"/>
      <c r="BC910" s="65"/>
      <c r="BD910" s="65"/>
      <c r="BE910" s="66"/>
    </row>
    <row r="911" spans="1:57" s="48" customFormat="1" ht="14.25" customHeight="1" x14ac:dyDescent="0.2">
      <c r="A911" s="717"/>
      <c r="B911" s="701"/>
      <c r="C911" s="701"/>
      <c r="D911" s="189">
        <v>2025</v>
      </c>
      <c r="E911" s="188">
        <f t="shared" si="375"/>
        <v>0.01</v>
      </c>
      <c r="F911" s="317">
        <f t="shared" si="375"/>
        <v>0.01</v>
      </c>
      <c r="G911" s="188">
        <f t="shared" si="375"/>
        <v>0</v>
      </c>
      <c r="H911" s="188">
        <f t="shared" si="375"/>
        <v>0</v>
      </c>
      <c r="I911" s="188">
        <f t="shared" si="375"/>
        <v>0</v>
      </c>
      <c r="J911" s="188">
        <f t="shared" si="375"/>
        <v>0</v>
      </c>
      <c r="K911" s="261">
        <f t="shared" si="365"/>
        <v>0.01</v>
      </c>
      <c r="L911" s="94"/>
      <c r="M911" s="50"/>
      <c r="N911" s="95"/>
      <c r="O911" s="196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/>
      <c r="BB911" s="65"/>
      <c r="BC911" s="65"/>
      <c r="BD911" s="65"/>
      <c r="BE911" s="66"/>
    </row>
    <row r="912" spans="1:57" s="48" customFormat="1" ht="14.25" customHeight="1" x14ac:dyDescent="0.2">
      <c r="A912" s="717"/>
      <c r="B912" s="701"/>
      <c r="C912" s="701"/>
      <c r="D912" s="189">
        <v>2026</v>
      </c>
      <c r="E912" s="188">
        <f t="shared" si="375"/>
        <v>1.04E-2</v>
      </c>
      <c r="F912" s="317">
        <f t="shared" si="375"/>
        <v>1.04E-2</v>
      </c>
      <c r="G912" s="188">
        <f t="shared" si="375"/>
        <v>0</v>
      </c>
      <c r="H912" s="188">
        <f t="shared" si="375"/>
        <v>0</v>
      </c>
      <c r="I912" s="188">
        <f t="shared" si="375"/>
        <v>0</v>
      </c>
      <c r="J912" s="188">
        <f t="shared" si="375"/>
        <v>0</v>
      </c>
      <c r="K912" s="261">
        <f t="shared" ref="K912:K975" si="376">F912+G912+H912+I912+J912</f>
        <v>1.04E-2</v>
      </c>
      <c r="L912" s="94"/>
      <c r="M912" s="50"/>
      <c r="N912" s="95"/>
      <c r="O912" s="196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/>
      <c r="BB912" s="65"/>
      <c r="BC912" s="65"/>
      <c r="BD912" s="65"/>
      <c r="BE912" s="66"/>
    </row>
    <row r="913" spans="1:57" s="48" customFormat="1" ht="14.25" customHeight="1" x14ac:dyDescent="0.2">
      <c r="A913" s="717"/>
      <c r="B913" s="701"/>
      <c r="C913" s="701"/>
      <c r="D913" s="189">
        <v>2027</v>
      </c>
      <c r="E913" s="188">
        <f t="shared" si="375"/>
        <v>1.0800000000000001E-2</v>
      </c>
      <c r="F913" s="317">
        <f t="shared" si="375"/>
        <v>1.0800000000000001E-2</v>
      </c>
      <c r="G913" s="188">
        <f t="shared" si="375"/>
        <v>0</v>
      </c>
      <c r="H913" s="188">
        <f t="shared" si="375"/>
        <v>0</v>
      </c>
      <c r="I913" s="188">
        <f t="shared" si="375"/>
        <v>0</v>
      </c>
      <c r="J913" s="188">
        <f t="shared" si="375"/>
        <v>0</v>
      </c>
      <c r="K913" s="261">
        <f t="shared" si="376"/>
        <v>1.0800000000000001E-2</v>
      </c>
      <c r="L913" s="94"/>
      <c r="M913" s="50"/>
      <c r="N913" s="95"/>
      <c r="O913" s="196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/>
      <c r="BB913" s="65"/>
      <c r="BC913" s="65"/>
      <c r="BD913" s="65"/>
      <c r="BE913" s="66"/>
    </row>
    <row r="914" spans="1:57" s="48" customFormat="1" ht="14.25" customHeight="1" x14ac:dyDescent="0.2">
      <c r="A914" s="717"/>
      <c r="B914" s="701"/>
      <c r="C914" s="701"/>
      <c r="D914" s="189">
        <v>2028</v>
      </c>
      <c r="E914" s="188">
        <f t="shared" si="375"/>
        <v>1.12E-2</v>
      </c>
      <c r="F914" s="317">
        <f t="shared" si="375"/>
        <v>1.12E-2</v>
      </c>
      <c r="G914" s="188">
        <f t="shared" si="375"/>
        <v>0</v>
      </c>
      <c r="H914" s="188">
        <f t="shared" si="375"/>
        <v>0</v>
      </c>
      <c r="I914" s="188">
        <f t="shared" si="375"/>
        <v>0</v>
      </c>
      <c r="J914" s="188">
        <f t="shared" si="375"/>
        <v>0</v>
      </c>
      <c r="K914" s="261">
        <f t="shared" si="376"/>
        <v>1.12E-2</v>
      </c>
      <c r="L914" s="94"/>
      <c r="M914" s="50"/>
      <c r="N914" s="95"/>
      <c r="O914" s="196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/>
      <c r="BB914" s="65"/>
      <c r="BC914" s="65"/>
      <c r="BD914" s="65"/>
      <c r="BE914" s="66"/>
    </row>
    <row r="915" spans="1:57" s="48" customFormat="1" ht="14.25" customHeight="1" x14ac:dyDescent="0.2">
      <c r="A915" s="717"/>
      <c r="B915" s="701"/>
      <c r="C915" s="701"/>
      <c r="D915" s="189">
        <v>2029</v>
      </c>
      <c r="E915" s="188">
        <f t="shared" si="375"/>
        <v>1.17E-2</v>
      </c>
      <c r="F915" s="317">
        <f t="shared" si="375"/>
        <v>1.17E-2</v>
      </c>
      <c r="G915" s="188">
        <f t="shared" si="375"/>
        <v>0</v>
      </c>
      <c r="H915" s="188">
        <f t="shared" si="375"/>
        <v>0</v>
      </c>
      <c r="I915" s="188">
        <f t="shared" si="375"/>
        <v>0</v>
      </c>
      <c r="J915" s="188">
        <f t="shared" si="375"/>
        <v>0</v>
      </c>
      <c r="K915" s="261">
        <f t="shared" si="376"/>
        <v>1.17E-2</v>
      </c>
      <c r="L915" s="94"/>
      <c r="M915" s="50"/>
      <c r="N915" s="95"/>
      <c r="O915" s="196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/>
      <c r="BB915" s="65"/>
      <c r="BC915" s="65"/>
      <c r="BD915" s="65"/>
      <c r="BE915" s="66"/>
    </row>
    <row r="916" spans="1:57" s="48" customFormat="1" ht="14.25" customHeight="1" x14ac:dyDescent="0.2">
      <c r="A916" s="734"/>
      <c r="B916" s="702"/>
      <c r="C916" s="702"/>
      <c r="D916" s="189">
        <v>2030</v>
      </c>
      <c r="E916" s="188">
        <f t="shared" si="375"/>
        <v>1.2200000000000001E-2</v>
      </c>
      <c r="F916" s="317">
        <f t="shared" si="375"/>
        <v>1.2200000000000001E-2</v>
      </c>
      <c r="G916" s="188">
        <f t="shared" si="375"/>
        <v>0</v>
      </c>
      <c r="H916" s="188">
        <f t="shared" si="375"/>
        <v>0</v>
      </c>
      <c r="I916" s="188">
        <f t="shared" si="375"/>
        <v>0</v>
      </c>
      <c r="J916" s="188">
        <f t="shared" si="375"/>
        <v>0</v>
      </c>
      <c r="K916" s="261">
        <f t="shared" si="376"/>
        <v>1.2200000000000001E-2</v>
      </c>
      <c r="L916" s="94"/>
      <c r="M916" s="50"/>
      <c r="N916" s="95"/>
      <c r="O916" s="196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/>
      <c r="BB916" s="65"/>
      <c r="BC916" s="65"/>
      <c r="BD916" s="65"/>
      <c r="BE916" s="66"/>
    </row>
    <row r="917" spans="1:57" s="48" customFormat="1" ht="14.25" customHeight="1" x14ac:dyDescent="0.2">
      <c r="A917" s="754" t="s">
        <v>758</v>
      </c>
      <c r="B917" s="631" t="s">
        <v>759</v>
      </c>
      <c r="C917" s="143"/>
      <c r="D917" s="46" t="s">
        <v>198</v>
      </c>
      <c r="E917" s="47">
        <f>E918+E919+E920+E921+E922+E923+E924+E925+E926+E927+E928+E929</f>
        <v>0.11747</v>
      </c>
      <c r="F917" s="47">
        <f>F918+F919+F920+F921+F922+F923+F924+F925+F926+F927+F928+F929</f>
        <v>0.11747</v>
      </c>
      <c r="G917" s="47">
        <f t="shared" ref="G917:J917" si="377">G918+G919+G920+G921+G922+G923+G924+G925+G926+G927+G928+G929</f>
        <v>0</v>
      </c>
      <c r="H917" s="47">
        <f t="shared" si="377"/>
        <v>0</v>
      </c>
      <c r="I917" s="47">
        <f t="shared" si="377"/>
        <v>0</v>
      </c>
      <c r="J917" s="47">
        <f t="shared" si="377"/>
        <v>0</v>
      </c>
      <c r="K917" s="261">
        <f t="shared" si="376"/>
        <v>0.11747</v>
      </c>
      <c r="L917" s="94"/>
      <c r="M917" s="50"/>
      <c r="N917" s="95"/>
      <c r="O917" s="695" t="s">
        <v>739</v>
      </c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/>
      <c r="BB917" s="65"/>
      <c r="BC917" s="65"/>
      <c r="BD917" s="65"/>
      <c r="BE917" s="66"/>
    </row>
    <row r="918" spans="1:57" s="48" customFormat="1" ht="14.25" customHeight="1" x14ac:dyDescent="0.2">
      <c r="A918" s="717"/>
      <c r="B918" s="701"/>
      <c r="C918" s="256" t="s">
        <v>738</v>
      </c>
      <c r="D918" s="189">
        <v>2019</v>
      </c>
      <c r="E918" s="188">
        <f>F918+G918+H918+I918+J918</f>
        <v>0</v>
      </c>
      <c r="F918" s="188">
        <v>0</v>
      </c>
      <c r="G918" s="188">
        <v>0</v>
      </c>
      <c r="H918" s="188">
        <v>0</v>
      </c>
      <c r="I918" s="188">
        <v>0</v>
      </c>
      <c r="J918" s="188">
        <v>0</v>
      </c>
      <c r="K918" s="261">
        <f t="shared" si="376"/>
        <v>0</v>
      </c>
      <c r="L918" s="94"/>
      <c r="M918" s="50"/>
      <c r="N918" s="95"/>
      <c r="O918" s="700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6"/>
    </row>
    <row r="919" spans="1:57" s="131" customFormat="1" ht="14.25" customHeight="1" x14ac:dyDescent="0.2">
      <c r="A919" s="717"/>
      <c r="B919" s="701"/>
      <c r="C919" s="739" t="s">
        <v>885</v>
      </c>
      <c r="D919" s="132">
        <v>2020</v>
      </c>
      <c r="E919" s="133">
        <f t="shared" ref="E919:E929" si="378">F919+G919+H919+I919+J919</f>
        <v>1.0370000000000001E-2</v>
      </c>
      <c r="F919" s="133">
        <v>1.0370000000000001E-2</v>
      </c>
      <c r="G919" s="133">
        <v>0</v>
      </c>
      <c r="H919" s="133">
        <v>0</v>
      </c>
      <c r="I919" s="133">
        <v>0</v>
      </c>
      <c r="J919" s="133">
        <v>0</v>
      </c>
      <c r="K919" s="136">
        <f t="shared" si="376"/>
        <v>1.0370000000000001E-2</v>
      </c>
      <c r="L919" s="426"/>
      <c r="M919" s="127"/>
      <c r="N919" s="427"/>
      <c r="O919" s="700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  <c r="AA919" s="129"/>
      <c r="AB919" s="129"/>
      <c r="AC919" s="129"/>
      <c r="AD919" s="129"/>
      <c r="AE919" s="129"/>
      <c r="AF919" s="129"/>
      <c r="AG919" s="129"/>
      <c r="AH919" s="129"/>
      <c r="AI919" s="129"/>
      <c r="AJ919" s="129"/>
      <c r="AK919" s="129"/>
      <c r="AL919" s="129"/>
      <c r="AM919" s="129"/>
      <c r="AN919" s="129"/>
      <c r="AO919" s="129"/>
      <c r="AP919" s="129"/>
      <c r="AQ919" s="129"/>
      <c r="AR919" s="129"/>
      <c r="AS919" s="129"/>
      <c r="AT919" s="129"/>
      <c r="AU919" s="129"/>
      <c r="AV919" s="129"/>
      <c r="AW919" s="129"/>
      <c r="AX919" s="129"/>
      <c r="AY919" s="129"/>
      <c r="AZ919" s="129"/>
      <c r="BA919" s="129"/>
      <c r="BB919" s="129"/>
      <c r="BC919" s="129"/>
      <c r="BD919" s="129"/>
      <c r="BE919" s="130"/>
    </row>
    <row r="920" spans="1:57" s="131" customFormat="1" ht="14.25" customHeight="1" x14ac:dyDescent="0.2">
      <c r="A920" s="717"/>
      <c r="B920" s="701"/>
      <c r="C920" s="740"/>
      <c r="D920" s="132">
        <v>2021</v>
      </c>
      <c r="E920" s="133">
        <f t="shared" si="378"/>
        <v>1.04E-2</v>
      </c>
      <c r="F920" s="133">
        <v>1.04E-2</v>
      </c>
      <c r="G920" s="133">
        <v>0</v>
      </c>
      <c r="H920" s="133">
        <v>0</v>
      </c>
      <c r="I920" s="133">
        <v>0</v>
      </c>
      <c r="J920" s="133">
        <v>0</v>
      </c>
      <c r="K920" s="136">
        <f t="shared" si="376"/>
        <v>1.04E-2</v>
      </c>
      <c r="L920" s="426"/>
      <c r="M920" s="127"/>
      <c r="N920" s="427"/>
      <c r="O920" s="700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  <c r="AA920" s="129"/>
      <c r="AB920" s="129"/>
      <c r="AC920" s="129"/>
      <c r="AD920" s="129"/>
      <c r="AE920" s="129"/>
      <c r="AF920" s="129"/>
      <c r="AG920" s="129"/>
      <c r="AH920" s="129"/>
      <c r="AI920" s="129"/>
      <c r="AJ920" s="129"/>
      <c r="AK920" s="129"/>
      <c r="AL920" s="129"/>
      <c r="AM920" s="129"/>
      <c r="AN920" s="129"/>
      <c r="AO920" s="129"/>
      <c r="AP920" s="129"/>
      <c r="AQ920" s="129"/>
      <c r="AR920" s="129"/>
      <c r="AS920" s="129"/>
      <c r="AT920" s="129"/>
      <c r="AU920" s="129"/>
      <c r="AV920" s="129"/>
      <c r="AW920" s="129"/>
      <c r="AX920" s="129"/>
      <c r="AY920" s="129"/>
      <c r="AZ920" s="129"/>
      <c r="BA920" s="129"/>
      <c r="BB920" s="129"/>
      <c r="BC920" s="129"/>
      <c r="BD920" s="129"/>
      <c r="BE920" s="130"/>
    </row>
    <row r="921" spans="1:57" s="131" customFormat="1" ht="14.25" customHeight="1" x14ac:dyDescent="0.2">
      <c r="A921" s="717"/>
      <c r="B921" s="701"/>
      <c r="C921" s="740"/>
      <c r="D921" s="132">
        <v>2022</v>
      </c>
      <c r="E921" s="133">
        <f t="shared" si="378"/>
        <v>1.04E-2</v>
      </c>
      <c r="F921" s="133">
        <v>1.04E-2</v>
      </c>
      <c r="G921" s="133">
        <v>0</v>
      </c>
      <c r="H921" s="133">
        <v>0</v>
      </c>
      <c r="I921" s="133">
        <v>0</v>
      </c>
      <c r="J921" s="133">
        <v>0</v>
      </c>
      <c r="K921" s="136">
        <f t="shared" si="376"/>
        <v>1.04E-2</v>
      </c>
      <c r="L921" s="426"/>
      <c r="M921" s="127"/>
      <c r="N921" s="427"/>
      <c r="O921" s="700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  <c r="AB921" s="129"/>
      <c r="AC921" s="129"/>
      <c r="AD921" s="129"/>
      <c r="AE921" s="129"/>
      <c r="AF921" s="129"/>
      <c r="AG921" s="129"/>
      <c r="AH921" s="129"/>
      <c r="AI921" s="129"/>
      <c r="AJ921" s="129"/>
      <c r="AK921" s="129"/>
      <c r="AL921" s="129"/>
      <c r="AM921" s="129"/>
      <c r="AN921" s="129"/>
      <c r="AO921" s="129"/>
      <c r="AP921" s="129"/>
      <c r="AQ921" s="129"/>
      <c r="AR921" s="129"/>
      <c r="AS921" s="129"/>
      <c r="AT921" s="129"/>
      <c r="AU921" s="129"/>
      <c r="AV921" s="129"/>
      <c r="AW921" s="129"/>
      <c r="AX921" s="129"/>
      <c r="AY921" s="129"/>
      <c r="AZ921" s="129"/>
      <c r="BA921" s="129"/>
      <c r="BB921" s="129"/>
      <c r="BC921" s="129"/>
      <c r="BD921" s="129"/>
      <c r="BE921" s="130"/>
    </row>
    <row r="922" spans="1:57" s="48" customFormat="1" ht="14.25" customHeight="1" x14ac:dyDescent="0.2">
      <c r="A922" s="717"/>
      <c r="B922" s="701"/>
      <c r="C922" s="740"/>
      <c r="D922" s="189">
        <v>2023</v>
      </c>
      <c r="E922" s="188">
        <f t="shared" si="378"/>
        <v>0.01</v>
      </c>
      <c r="F922" s="188">
        <v>0.01</v>
      </c>
      <c r="G922" s="188">
        <v>0</v>
      </c>
      <c r="H922" s="188">
        <v>0</v>
      </c>
      <c r="I922" s="188">
        <v>0</v>
      </c>
      <c r="J922" s="188">
        <v>0</v>
      </c>
      <c r="K922" s="261">
        <f t="shared" si="376"/>
        <v>0.01</v>
      </c>
      <c r="L922" s="94"/>
      <c r="M922" s="50"/>
      <c r="N922" s="95"/>
      <c r="O922" s="700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6"/>
    </row>
    <row r="923" spans="1:57" s="48" customFormat="1" ht="14.25" customHeight="1" x14ac:dyDescent="0.2">
      <c r="A923" s="717"/>
      <c r="B923" s="701"/>
      <c r="C923" s="740"/>
      <c r="D923" s="189">
        <v>2024</v>
      </c>
      <c r="E923" s="188">
        <f t="shared" si="378"/>
        <v>0.01</v>
      </c>
      <c r="F923" s="188">
        <v>0.01</v>
      </c>
      <c r="G923" s="188">
        <v>0</v>
      </c>
      <c r="H923" s="188">
        <v>0</v>
      </c>
      <c r="I923" s="188">
        <v>0</v>
      </c>
      <c r="J923" s="188">
        <v>0</v>
      </c>
      <c r="K923" s="261">
        <f t="shared" si="376"/>
        <v>0.01</v>
      </c>
      <c r="L923" s="94"/>
      <c r="M923" s="50"/>
      <c r="N923" s="95"/>
      <c r="O923" s="700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/>
      <c r="BB923" s="65"/>
      <c r="BC923" s="65"/>
      <c r="BD923" s="65"/>
      <c r="BE923" s="66"/>
    </row>
    <row r="924" spans="1:57" s="48" customFormat="1" ht="14.25" customHeight="1" x14ac:dyDescent="0.2">
      <c r="A924" s="717"/>
      <c r="B924" s="701"/>
      <c r="C924" s="741"/>
      <c r="D924" s="189">
        <v>2025</v>
      </c>
      <c r="E924" s="188">
        <f t="shared" si="378"/>
        <v>0.01</v>
      </c>
      <c r="F924" s="188">
        <v>0.01</v>
      </c>
      <c r="G924" s="188">
        <v>0</v>
      </c>
      <c r="H924" s="188">
        <v>0</v>
      </c>
      <c r="I924" s="188">
        <v>0</v>
      </c>
      <c r="J924" s="188">
        <v>0</v>
      </c>
      <c r="K924" s="261">
        <f t="shared" si="376"/>
        <v>0.01</v>
      </c>
      <c r="L924" s="94"/>
      <c r="M924" s="50"/>
      <c r="N924" s="95"/>
      <c r="O924" s="700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  <c r="BC924" s="65"/>
      <c r="BD924" s="65"/>
      <c r="BE924" s="66"/>
    </row>
    <row r="925" spans="1:57" s="48" customFormat="1" ht="14.25" customHeight="1" x14ac:dyDescent="0.2">
      <c r="A925" s="717"/>
      <c r="B925" s="701"/>
      <c r="C925" s="739" t="s">
        <v>887</v>
      </c>
      <c r="D925" s="189">
        <v>2026</v>
      </c>
      <c r="E925" s="188">
        <f t="shared" si="378"/>
        <v>1.04E-2</v>
      </c>
      <c r="F925" s="188">
        <v>1.04E-2</v>
      </c>
      <c r="G925" s="188">
        <v>0</v>
      </c>
      <c r="H925" s="188">
        <v>0</v>
      </c>
      <c r="I925" s="188">
        <v>0</v>
      </c>
      <c r="J925" s="188">
        <v>0</v>
      </c>
      <c r="K925" s="261">
        <f t="shared" si="376"/>
        <v>1.04E-2</v>
      </c>
      <c r="L925" s="94"/>
      <c r="M925" s="50"/>
      <c r="N925" s="95"/>
      <c r="O925" s="700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  <c r="BC925" s="65"/>
      <c r="BD925" s="65"/>
      <c r="BE925" s="66"/>
    </row>
    <row r="926" spans="1:57" s="48" customFormat="1" ht="14.25" customHeight="1" x14ac:dyDescent="0.2">
      <c r="A926" s="717"/>
      <c r="B926" s="701"/>
      <c r="C926" s="701"/>
      <c r="D926" s="189">
        <v>2027</v>
      </c>
      <c r="E926" s="188">
        <f t="shared" si="378"/>
        <v>1.0800000000000001E-2</v>
      </c>
      <c r="F926" s="188">
        <v>1.0800000000000001E-2</v>
      </c>
      <c r="G926" s="188">
        <v>0</v>
      </c>
      <c r="H926" s="188">
        <v>0</v>
      </c>
      <c r="I926" s="188">
        <v>0</v>
      </c>
      <c r="J926" s="188">
        <v>0</v>
      </c>
      <c r="K926" s="261">
        <f t="shared" si="376"/>
        <v>1.0800000000000001E-2</v>
      </c>
      <c r="L926" s="94"/>
      <c r="M926" s="50"/>
      <c r="N926" s="95"/>
      <c r="O926" s="700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/>
      <c r="BB926" s="65"/>
      <c r="BC926" s="65"/>
      <c r="BD926" s="65"/>
      <c r="BE926" s="66"/>
    </row>
    <row r="927" spans="1:57" s="48" customFormat="1" ht="14.25" customHeight="1" x14ac:dyDescent="0.2">
      <c r="A927" s="717"/>
      <c r="B927" s="701"/>
      <c r="C927" s="701"/>
      <c r="D927" s="189">
        <v>2028</v>
      </c>
      <c r="E927" s="188">
        <f t="shared" si="378"/>
        <v>1.12E-2</v>
      </c>
      <c r="F927" s="188">
        <v>1.12E-2</v>
      </c>
      <c r="G927" s="188">
        <v>0</v>
      </c>
      <c r="H927" s="188">
        <v>0</v>
      </c>
      <c r="I927" s="188">
        <v>0</v>
      </c>
      <c r="J927" s="188">
        <v>0</v>
      </c>
      <c r="K927" s="261">
        <f t="shared" si="376"/>
        <v>1.12E-2</v>
      </c>
      <c r="L927" s="94"/>
      <c r="M927" s="50"/>
      <c r="N927" s="95"/>
      <c r="O927" s="700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6"/>
    </row>
    <row r="928" spans="1:57" s="48" customFormat="1" ht="14.25" customHeight="1" x14ac:dyDescent="0.2">
      <c r="A928" s="717"/>
      <c r="B928" s="701"/>
      <c r="C928" s="701"/>
      <c r="D928" s="189">
        <v>2029</v>
      </c>
      <c r="E928" s="188">
        <f t="shared" si="378"/>
        <v>1.17E-2</v>
      </c>
      <c r="F928" s="188">
        <v>1.17E-2</v>
      </c>
      <c r="G928" s="188">
        <v>0</v>
      </c>
      <c r="H928" s="188">
        <v>0</v>
      </c>
      <c r="I928" s="188">
        <v>0</v>
      </c>
      <c r="J928" s="188">
        <v>0</v>
      </c>
      <c r="K928" s="261">
        <f t="shared" si="376"/>
        <v>1.17E-2</v>
      </c>
      <c r="L928" s="94"/>
      <c r="M928" s="50"/>
      <c r="N928" s="95"/>
      <c r="O928" s="700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/>
      <c r="BB928" s="65"/>
      <c r="BC928" s="65"/>
      <c r="BD928" s="65"/>
      <c r="BE928" s="66"/>
    </row>
    <row r="929" spans="1:57" s="48" customFormat="1" ht="14.25" customHeight="1" x14ac:dyDescent="0.2">
      <c r="A929" s="734"/>
      <c r="B929" s="702"/>
      <c r="C929" s="702"/>
      <c r="D929" s="189">
        <v>2030</v>
      </c>
      <c r="E929" s="188">
        <f t="shared" si="378"/>
        <v>1.2200000000000001E-2</v>
      </c>
      <c r="F929" s="188">
        <v>1.2200000000000001E-2</v>
      </c>
      <c r="G929" s="188">
        <v>0</v>
      </c>
      <c r="H929" s="188">
        <v>0</v>
      </c>
      <c r="I929" s="188">
        <v>0</v>
      </c>
      <c r="J929" s="188">
        <v>0</v>
      </c>
      <c r="K929" s="261">
        <f t="shared" si="376"/>
        <v>1.2200000000000001E-2</v>
      </c>
      <c r="L929" s="94"/>
      <c r="M929" s="50"/>
      <c r="N929" s="95"/>
      <c r="O929" s="696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6"/>
    </row>
    <row r="930" spans="1:57" s="48" customFormat="1" ht="14.25" customHeight="1" x14ac:dyDescent="0.2">
      <c r="A930" s="750" t="s">
        <v>701</v>
      </c>
      <c r="B930" s="649" t="s">
        <v>613</v>
      </c>
      <c r="D930" s="46" t="s">
        <v>198</v>
      </c>
      <c r="E930" s="47">
        <f>E943</f>
        <v>1.15229</v>
      </c>
      <c r="F930" s="47">
        <f>F943</f>
        <v>1.15229</v>
      </c>
      <c r="G930" s="47">
        <f t="shared" ref="G930:J930" si="379">G943</f>
        <v>0</v>
      </c>
      <c r="H930" s="47">
        <f t="shared" si="379"/>
        <v>0</v>
      </c>
      <c r="I930" s="47">
        <f t="shared" si="379"/>
        <v>0</v>
      </c>
      <c r="J930" s="47">
        <f t="shared" si="379"/>
        <v>0</v>
      </c>
      <c r="K930" s="261">
        <f t="shared" si="376"/>
        <v>1.15229</v>
      </c>
      <c r="L930" s="94"/>
      <c r="M930" s="50"/>
      <c r="N930" s="95"/>
      <c r="O930" s="196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/>
      <c r="BB930" s="65"/>
      <c r="BC930" s="65"/>
      <c r="BD930" s="65"/>
      <c r="BE930" s="66"/>
    </row>
    <row r="931" spans="1:57" s="48" customFormat="1" ht="14.25" customHeight="1" x14ac:dyDescent="0.2">
      <c r="A931" s="751"/>
      <c r="B931" s="701"/>
      <c r="C931" s="319"/>
      <c r="D931" s="189">
        <v>2019</v>
      </c>
      <c r="E931" s="188">
        <f t="shared" ref="E931:J942" si="380">E944</f>
        <v>5.4999999999999997E-3</v>
      </c>
      <c r="F931" s="188">
        <f t="shared" si="380"/>
        <v>5.4999999999999997E-3</v>
      </c>
      <c r="G931" s="188">
        <f t="shared" si="380"/>
        <v>0</v>
      </c>
      <c r="H931" s="188">
        <f t="shared" si="380"/>
        <v>0</v>
      </c>
      <c r="I931" s="188">
        <f t="shared" si="380"/>
        <v>0</v>
      </c>
      <c r="J931" s="188">
        <f t="shared" si="380"/>
        <v>0</v>
      </c>
      <c r="K931" s="261">
        <f t="shared" si="376"/>
        <v>5.4999999999999997E-3</v>
      </c>
      <c r="L931" s="94"/>
      <c r="M931" s="50"/>
      <c r="N931" s="95"/>
      <c r="O931" s="196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  <c r="BC931" s="65"/>
      <c r="BD931" s="65"/>
      <c r="BE931" s="66"/>
    </row>
    <row r="932" spans="1:57" s="48" customFormat="1" ht="14.25" customHeight="1" x14ac:dyDescent="0.2">
      <c r="A932" s="751"/>
      <c r="B932" s="701"/>
      <c r="C932" s="753" t="s">
        <v>885</v>
      </c>
      <c r="D932" s="189">
        <v>2020</v>
      </c>
      <c r="E932" s="188">
        <f>E945</f>
        <v>7.3419999999999999E-2</v>
      </c>
      <c r="F932" s="188">
        <f t="shared" si="380"/>
        <v>7.3419999999999999E-2</v>
      </c>
      <c r="G932" s="188">
        <f t="shared" si="380"/>
        <v>0</v>
      </c>
      <c r="H932" s="188">
        <f t="shared" si="380"/>
        <v>0</v>
      </c>
      <c r="I932" s="188">
        <f t="shared" si="380"/>
        <v>0</v>
      </c>
      <c r="J932" s="188">
        <f t="shared" si="380"/>
        <v>0</v>
      </c>
      <c r="K932" s="261">
        <f t="shared" si="376"/>
        <v>7.3419999999999999E-2</v>
      </c>
      <c r="L932" s="94"/>
      <c r="M932" s="50"/>
      <c r="N932" s="95"/>
      <c r="O932" s="196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/>
      <c r="BB932" s="65"/>
      <c r="BC932" s="65"/>
      <c r="BD932" s="65"/>
      <c r="BE932" s="66"/>
    </row>
    <row r="933" spans="1:57" s="48" customFormat="1" ht="14.25" customHeight="1" x14ac:dyDescent="0.2">
      <c r="A933" s="751"/>
      <c r="B933" s="701"/>
      <c r="C933" s="753"/>
      <c r="D933" s="189">
        <v>2021</v>
      </c>
      <c r="E933" s="188">
        <f t="shared" si="380"/>
        <v>7.6359999999999997E-2</v>
      </c>
      <c r="F933" s="188">
        <f t="shared" si="380"/>
        <v>7.6359999999999997E-2</v>
      </c>
      <c r="G933" s="188">
        <f t="shared" si="380"/>
        <v>0</v>
      </c>
      <c r="H933" s="188">
        <f t="shared" si="380"/>
        <v>0</v>
      </c>
      <c r="I933" s="188">
        <f t="shared" si="380"/>
        <v>0</v>
      </c>
      <c r="J933" s="188">
        <f t="shared" si="380"/>
        <v>0</v>
      </c>
      <c r="K933" s="261">
        <f t="shared" si="376"/>
        <v>7.6359999999999997E-2</v>
      </c>
      <c r="L933" s="94"/>
      <c r="M933" s="50"/>
      <c r="N933" s="95"/>
      <c r="O933" s="196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/>
      <c r="BB933" s="65"/>
      <c r="BC933" s="65"/>
      <c r="BD933" s="65"/>
      <c r="BE933" s="66"/>
    </row>
    <row r="934" spans="1:57" s="48" customFormat="1" ht="14.25" customHeight="1" x14ac:dyDescent="0.2">
      <c r="A934" s="751"/>
      <c r="B934" s="701"/>
      <c r="C934" s="753"/>
      <c r="D934" s="189">
        <v>2022</v>
      </c>
      <c r="E934" s="188">
        <f t="shared" si="380"/>
        <v>7.9409999999999994E-2</v>
      </c>
      <c r="F934" s="188">
        <f t="shared" si="380"/>
        <v>7.9409999999999994E-2</v>
      </c>
      <c r="G934" s="188">
        <f t="shared" si="380"/>
        <v>0</v>
      </c>
      <c r="H934" s="188">
        <f t="shared" si="380"/>
        <v>0</v>
      </c>
      <c r="I934" s="188">
        <f t="shared" si="380"/>
        <v>0</v>
      </c>
      <c r="J934" s="188">
        <f t="shared" si="380"/>
        <v>0</v>
      </c>
      <c r="K934" s="261">
        <f t="shared" si="376"/>
        <v>7.9409999999999994E-2</v>
      </c>
      <c r="L934" s="94"/>
      <c r="M934" s="50"/>
      <c r="N934" s="95"/>
      <c r="O934" s="196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  <c r="BC934" s="65"/>
      <c r="BD934" s="65"/>
      <c r="BE934" s="66"/>
    </row>
    <row r="935" spans="1:57" s="48" customFormat="1" ht="14.25" customHeight="1" x14ac:dyDescent="0.2">
      <c r="A935" s="751"/>
      <c r="B935" s="701"/>
      <c r="C935" s="753"/>
      <c r="D935" s="189">
        <v>2023</v>
      </c>
      <c r="E935" s="188">
        <f t="shared" si="380"/>
        <v>9.9599999999999994E-2</v>
      </c>
      <c r="F935" s="188">
        <f t="shared" si="380"/>
        <v>9.9599999999999994E-2</v>
      </c>
      <c r="G935" s="188">
        <f t="shared" si="380"/>
        <v>0</v>
      </c>
      <c r="H935" s="188">
        <f t="shared" si="380"/>
        <v>0</v>
      </c>
      <c r="I935" s="188">
        <f t="shared" si="380"/>
        <v>0</v>
      </c>
      <c r="J935" s="188">
        <f t="shared" si="380"/>
        <v>0</v>
      </c>
      <c r="K935" s="261">
        <f t="shared" si="376"/>
        <v>9.9599999999999994E-2</v>
      </c>
      <c r="L935" s="94"/>
      <c r="M935" s="50"/>
      <c r="N935" s="95"/>
      <c r="O935" s="196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/>
      <c r="BB935" s="65"/>
      <c r="BC935" s="65"/>
      <c r="BD935" s="65"/>
      <c r="BE935" s="66"/>
    </row>
    <row r="936" spans="1:57" s="48" customFormat="1" ht="14.25" customHeight="1" x14ac:dyDescent="0.2">
      <c r="A936" s="751"/>
      <c r="B936" s="701"/>
      <c r="C936" s="753"/>
      <c r="D936" s="189">
        <v>2024</v>
      </c>
      <c r="E936" s="188">
        <f t="shared" si="380"/>
        <v>0.1036</v>
      </c>
      <c r="F936" s="188">
        <f t="shared" si="380"/>
        <v>0.1036</v>
      </c>
      <c r="G936" s="188">
        <f t="shared" si="380"/>
        <v>0</v>
      </c>
      <c r="H936" s="188">
        <f t="shared" si="380"/>
        <v>0</v>
      </c>
      <c r="I936" s="188">
        <f t="shared" si="380"/>
        <v>0</v>
      </c>
      <c r="J936" s="188">
        <f t="shared" si="380"/>
        <v>0</v>
      </c>
      <c r="K936" s="261">
        <f t="shared" si="376"/>
        <v>0.1036</v>
      </c>
      <c r="L936" s="94"/>
      <c r="M936" s="50"/>
      <c r="N936" s="95"/>
      <c r="O936" s="196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  <c r="BC936" s="65"/>
      <c r="BD936" s="65"/>
      <c r="BE936" s="66"/>
    </row>
    <row r="937" spans="1:57" s="48" customFormat="1" ht="14.25" customHeight="1" x14ac:dyDescent="0.2">
      <c r="A937" s="751"/>
      <c r="B937" s="701"/>
      <c r="C937" s="753"/>
      <c r="D937" s="189">
        <v>2025</v>
      </c>
      <c r="E937" s="188">
        <f t="shared" si="380"/>
        <v>0.1077</v>
      </c>
      <c r="F937" s="188">
        <f t="shared" si="380"/>
        <v>0.1077</v>
      </c>
      <c r="G937" s="188">
        <f t="shared" si="380"/>
        <v>0</v>
      </c>
      <c r="H937" s="188">
        <f t="shared" si="380"/>
        <v>0</v>
      </c>
      <c r="I937" s="188">
        <f t="shared" si="380"/>
        <v>0</v>
      </c>
      <c r="J937" s="188">
        <f t="shared" si="380"/>
        <v>0</v>
      </c>
      <c r="K937" s="261">
        <f t="shared" si="376"/>
        <v>0.1077</v>
      </c>
      <c r="L937" s="94"/>
      <c r="M937" s="50"/>
      <c r="N937" s="95"/>
      <c r="O937" s="196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  <c r="BC937" s="65"/>
      <c r="BD937" s="65"/>
      <c r="BE937" s="66"/>
    </row>
    <row r="938" spans="1:57" s="48" customFormat="1" ht="14.25" customHeight="1" x14ac:dyDescent="0.2">
      <c r="A938" s="751"/>
      <c r="B938" s="701"/>
      <c r="C938" s="319"/>
      <c r="D938" s="189">
        <v>2026</v>
      </c>
      <c r="E938" s="188">
        <f t="shared" si="380"/>
        <v>0.112</v>
      </c>
      <c r="F938" s="188">
        <f t="shared" si="380"/>
        <v>0.112</v>
      </c>
      <c r="G938" s="188">
        <f t="shared" si="380"/>
        <v>0</v>
      </c>
      <c r="H938" s="188">
        <f t="shared" si="380"/>
        <v>0</v>
      </c>
      <c r="I938" s="188">
        <f t="shared" si="380"/>
        <v>0</v>
      </c>
      <c r="J938" s="188">
        <f t="shared" si="380"/>
        <v>0</v>
      </c>
      <c r="K938" s="261">
        <f t="shared" si="376"/>
        <v>0.112</v>
      </c>
      <c r="L938" s="94"/>
      <c r="M938" s="50"/>
      <c r="N938" s="95"/>
      <c r="O938" s="196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/>
      <c r="BB938" s="65"/>
      <c r="BC938" s="65"/>
      <c r="BD938" s="65"/>
      <c r="BE938" s="66"/>
    </row>
    <row r="939" spans="1:57" s="48" customFormat="1" ht="14.25" customHeight="1" x14ac:dyDescent="0.2">
      <c r="A939" s="751"/>
      <c r="B939" s="701"/>
      <c r="C939" s="753" t="s">
        <v>1080</v>
      </c>
      <c r="D939" s="189">
        <v>2027</v>
      </c>
      <c r="E939" s="188">
        <f t="shared" si="380"/>
        <v>0.11650000000000001</v>
      </c>
      <c r="F939" s="188">
        <f t="shared" si="380"/>
        <v>0.11650000000000001</v>
      </c>
      <c r="G939" s="188">
        <f t="shared" si="380"/>
        <v>0</v>
      </c>
      <c r="H939" s="188">
        <f t="shared" si="380"/>
        <v>0</v>
      </c>
      <c r="I939" s="188">
        <f t="shared" si="380"/>
        <v>0</v>
      </c>
      <c r="J939" s="188">
        <f t="shared" si="380"/>
        <v>0</v>
      </c>
      <c r="K939" s="261">
        <f t="shared" si="376"/>
        <v>0.11650000000000001</v>
      </c>
      <c r="L939" s="94"/>
      <c r="M939" s="50"/>
      <c r="N939" s="95"/>
      <c r="O939" s="196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/>
      <c r="BB939" s="65"/>
      <c r="BC939" s="65"/>
      <c r="BD939" s="65"/>
      <c r="BE939" s="66"/>
    </row>
    <row r="940" spans="1:57" s="48" customFormat="1" ht="14.25" customHeight="1" x14ac:dyDescent="0.2">
      <c r="A940" s="751"/>
      <c r="B940" s="701"/>
      <c r="C940" s="753"/>
      <c r="D940" s="189">
        <v>2028</v>
      </c>
      <c r="E940" s="188">
        <f t="shared" si="380"/>
        <v>0.1212</v>
      </c>
      <c r="F940" s="188">
        <f t="shared" si="380"/>
        <v>0.1212</v>
      </c>
      <c r="G940" s="188">
        <f t="shared" si="380"/>
        <v>0</v>
      </c>
      <c r="H940" s="188">
        <f t="shared" si="380"/>
        <v>0</v>
      </c>
      <c r="I940" s="188">
        <f t="shared" si="380"/>
        <v>0</v>
      </c>
      <c r="J940" s="188">
        <f t="shared" si="380"/>
        <v>0</v>
      </c>
      <c r="K940" s="261">
        <f t="shared" si="376"/>
        <v>0.1212</v>
      </c>
      <c r="L940" s="94"/>
      <c r="M940" s="50"/>
      <c r="N940" s="95"/>
      <c r="O940" s="196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  <c r="BC940" s="65"/>
      <c r="BD940" s="65"/>
      <c r="BE940" s="66"/>
    </row>
    <row r="941" spans="1:57" s="48" customFormat="1" ht="14.25" customHeight="1" x14ac:dyDescent="0.2">
      <c r="A941" s="751"/>
      <c r="B941" s="701"/>
      <c r="C941" s="753"/>
      <c r="D941" s="189">
        <v>2029</v>
      </c>
      <c r="E941" s="188">
        <f t="shared" si="380"/>
        <v>0.126</v>
      </c>
      <c r="F941" s="188">
        <f t="shared" si="380"/>
        <v>0.126</v>
      </c>
      <c r="G941" s="188">
        <f t="shared" si="380"/>
        <v>0</v>
      </c>
      <c r="H941" s="188">
        <f t="shared" si="380"/>
        <v>0</v>
      </c>
      <c r="I941" s="188">
        <f t="shared" si="380"/>
        <v>0</v>
      </c>
      <c r="J941" s="188">
        <f t="shared" si="380"/>
        <v>0</v>
      </c>
      <c r="K941" s="261">
        <f t="shared" si="376"/>
        <v>0.126</v>
      </c>
      <c r="L941" s="94"/>
      <c r="M941" s="50"/>
      <c r="N941" s="95"/>
      <c r="O941" s="196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/>
      <c r="BB941" s="65"/>
      <c r="BC941" s="65"/>
      <c r="BD941" s="65"/>
      <c r="BE941" s="66"/>
    </row>
    <row r="942" spans="1:57" s="48" customFormat="1" ht="14.25" customHeight="1" x14ac:dyDescent="0.2">
      <c r="A942" s="752"/>
      <c r="B942" s="702"/>
      <c r="C942" s="753"/>
      <c r="D942" s="189">
        <v>2030</v>
      </c>
      <c r="E942" s="188">
        <f t="shared" si="380"/>
        <v>0.13100000000000001</v>
      </c>
      <c r="F942" s="188">
        <f t="shared" si="380"/>
        <v>0.13100000000000001</v>
      </c>
      <c r="G942" s="188">
        <f t="shared" si="380"/>
        <v>0</v>
      </c>
      <c r="H942" s="188">
        <f t="shared" si="380"/>
        <v>0</v>
      </c>
      <c r="I942" s="188">
        <f t="shared" si="380"/>
        <v>0</v>
      </c>
      <c r="J942" s="188">
        <f t="shared" si="380"/>
        <v>0</v>
      </c>
      <c r="K942" s="261">
        <f t="shared" si="376"/>
        <v>0.13100000000000001</v>
      </c>
      <c r="L942" s="94"/>
      <c r="M942" s="50"/>
      <c r="N942" s="95"/>
      <c r="O942" s="196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/>
      <c r="BB942" s="65"/>
      <c r="BC942" s="65"/>
      <c r="BD942" s="65"/>
      <c r="BE942" s="66"/>
    </row>
    <row r="943" spans="1:57" s="48" customFormat="1" ht="21.75" customHeight="1" x14ac:dyDescent="0.2">
      <c r="A943" s="662" t="s">
        <v>741</v>
      </c>
      <c r="B943" s="631" t="s">
        <v>742</v>
      </c>
      <c r="C943" s="137"/>
      <c r="D943" s="46" t="s">
        <v>198</v>
      </c>
      <c r="E943" s="47">
        <f>E944+E945+E946+E947+E948+E949+E950+E951+E952+E953+E954+E955</f>
        <v>1.15229</v>
      </c>
      <c r="F943" s="47">
        <f>F944+F945+F946+F947+F948+F949+F950+F951+F952+F953+F954+F955</f>
        <v>1.15229</v>
      </c>
      <c r="G943" s="47">
        <f t="shared" ref="G943:J943" si="381">G944+G945+G946+G947+G948+G949+G950+G951+G952+G953+G954+G955</f>
        <v>0</v>
      </c>
      <c r="H943" s="47">
        <f t="shared" si="381"/>
        <v>0</v>
      </c>
      <c r="I943" s="47">
        <f t="shared" si="381"/>
        <v>0</v>
      </c>
      <c r="J943" s="47">
        <f t="shared" si="381"/>
        <v>0</v>
      </c>
      <c r="K943" s="261">
        <f t="shared" si="376"/>
        <v>1.15229</v>
      </c>
      <c r="L943" s="94"/>
      <c r="M943" s="50"/>
      <c r="N943" s="95"/>
      <c r="O943" s="746" t="s">
        <v>739</v>
      </c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/>
      <c r="BB943" s="65"/>
      <c r="BC943" s="65"/>
      <c r="BD943" s="65"/>
      <c r="BE943" s="66"/>
    </row>
    <row r="944" spans="1:57" s="48" customFormat="1" ht="14.25" customHeight="1" x14ac:dyDescent="0.2">
      <c r="A944" s="717"/>
      <c r="B944" s="701"/>
      <c r="C944" s="256" t="s">
        <v>738</v>
      </c>
      <c r="D944" s="189">
        <v>2019</v>
      </c>
      <c r="E944" s="188">
        <f>F944+G944+H944+I944+J944</f>
        <v>5.4999999999999997E-3</v>
      </c>
      <c r="F944" s="188">
        <v>5.4999999999999997E-3</v>
      </c>
      <c r="G944" s="188">
        <v>0</v>
      </c>
      <c r="H944" s="188">
        <v>0</v>
      </c>
      <c r="I944" s="188">
        <v>0</v>
      </c>
      <c r="J944" s="188">
        <v>0</v>
      </c>
      <c r="K944" s="261">
        <f t="shared" si="376"/>
        <v>5.4999999999999997E-3</v>
      </c>
      <c r="L944" s="94"/>
      <c r="M944" s="50"/>
      <c r="N944" s="95"/>
      <c r="O944" s="747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6"/>
    </row>
    <row r="945" spans="1:57" s="131" customFormat="1" ht="14.25" customHeight="1" x14ac:dyDescent="0.2">
      <c r="A945" s="717"/>
      <c r="B945" s="701"/>
      <c r="C945" s="739" t="s">
        <v>885</v>
      </c>
      <c r="D945" s="132">
        <v>2020</v>
      </c>
      <c r="E945" s="133">
        <f>F945+G945+H945+I945+J945</f>
        <v>7.3419999999999999E-2</v>
      </c>
      <c r="F945" s="133">
        <v>7.3419999999999999E-2</v>
      </c>
      <c r="G945" s="133">
        <v>0</v>
      </c>
      <c r="H945" s="133">
        <v>0</v>
      </c>
      <c r="I945" s="133">
        <v>0</v>
      </c>
      <c r="J945" s="133">
        <v>0</v>
      </c>
      <c r="K945" s="136">
        <f t="shared" si="376"/>
        <v>7.3419999999999999E-2</v>
      </c>
      <c r="L945" s="426"/>
      <c r="M945" s="127"/>
      <c r="N945" s="427"/>
      <c r="O945" s="747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  <c r="AB945" s="129"/>
      <c r="AC945" s="129"/>
      <c r="AD945" s="129"/>
      <c r="AE945" s="129"/>
      <c r="AF945" s="129"/>
      <c r="AG945" s="129"/>
      <c r="AH945" s="129"/>
      <c r="AI945" s="129"/>
      <c r="AJ945" s="129"/>
      <c r="AK945" s="129"/>
      <c r="AL945" s="129"/>
      <c r="AM945" s="129"/>
      <c r="AN945" s="129"/>
      <c r="AO945" s="129"/>
      <c r="AP945" s="129"/>
      <c r="AQ945" s="129"/>
      <c r="AR945" s="129"/>
      <c r="AS945" s="129"/>
      <c r="AT945" s="129"/>
      <c r="AU945" s="129"/>
      <c r="AV945" s="129"/>
      <c r="AW945" s="129"/>
      <c r="AX945" s="129"/>
      <c r="AY945" s="129"/>
      <c r="AZ945" s="129"/>
      <c r="BA945" s="129"/>
      <c r="BB945" s="129"/>
      <c r="BC945" s="129"/>
      <c r="BD945" s="129"/>
      <c r="BE945" s="130"/>
    </row>
    <row r="946" spans="1:57" s="131" customFormat="1" ht="14.25" customHeight="1" x14ac:dyDescent="0.2">
      <c r="A946" s="717"/>
      <c r="B946" s="701"/>
      <c r="C946" s="740"/>
      <c r="D946" s="132">
        <v>2021</v>
      </c>
      <c r="E946" s="133">
        <f t="shared" ref="E946:E955" si="382">F946+G946+H946+I946+J946</f>
        <v>7.6359999999999997E-2</v>
      </c>
      <c r="F946" s="133">
        <v>7.6359999999999997E-2</v>
      </c>
      <c r="G946" s="133">
        <v>0</v>
      </c>
      <c r="H946" s="133">
        <v>0</v>
      </c>
      <c r="I946" s="133">
        <v>0</v>
      </c>
      <c r="J946" s="133">
        <v>0</v>
      </c>
      <c r="K946" s="136">
        <f t="shared" si="376"/>
        <v>7.6359999999999997E-2</v>
      </c>
      <c r="L946" s="426"/>
      <c r="M946" s="127"/>
      <c r="N946" s="427"/>
      <c r="O946" s="747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  <c r="AB946" s="129"/>
      <c r="AC946" s="129"/>
      <c r="AD946" s="129"/>
      <c r="AE946" s="129"/>
      <c r="AF946" s="129"/>
      <c r="AG946" s="129"/>
      <c r="AH946" s="129"/>
      <c r="AI946" s="129"/>
      <c r="AJ946" s="129"/>
      <c r="AK946" s="129"/>
      <c r="AL946" s="129"/>
      <c r="AM946" s="129"/>
      <c r="AN946" s="129"/>
      <c r="AO946" s="129"/>
      <c r="AP946" s="129"/>
      <c r="AQ946" s="129"/>
      <c r="AR946" s="129"/>
      <c r="AS946" s="129"/>
      <c r="AT946" s="129"/>
      <c r="AU946" s="129"/>
      <c r="AV946" s="129"/>
      <c r="AW946" s="129"/>
      <c r="AX946" s="129"/>
      <c r="AY946" s="129"/>
      <c r="AZ946" s="129"/>
      <c r="BA946" s="129"/>
      <c r="BB946" s="129"/>
      <c r="BC946" s="129"/>
      <c r="BD946" s="129"/>
      <c r="BE946" s="130"/>
    </row>
    <row r="947" spans="1:57" s="131" customFormat="1" ht="14.25" customHeight="1" x14ac:dyDescent="0.2">
      <c r="A947" s="717"/>
      <c r="B947" s="701"/>
      <c r="C947" s="740"/>
      <c r="D947" s="132">
        <v>2022</v>
      </c>
      <c r="E947" s="133">
        <f t="shared" si="382"/>
        <v>7.9409999999999994E-2</v>
      </c>
      <c r="F947" s="133">
        <v>7.9409999999999994E-2</v>
      </c>
      <c r="G947" s="133">
        <v>0</v>
      </c>
      <c r="H947" s="133">
        <v>0</v>
      </c>
      <c r="I947" s="133">
        <v>0</v>
      </c>
      <c r="J947" s="133">
        <v>0</v>
      </c>
      <c r="K947" s="136">
        <f t="shared" si="376"/>
        <v>7.9409999999999994E-2</v>
      </c>
      <c r="L947" s="426"/>
      <c r="M947" s="127"/>
      <c r="N947" s="427"/>
      <c r="O947" s="747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  <c r="AB947" s="129"/>
      <c r="AC947" s="129"/>
      <c r="AD947" s="129"/>
      <c r="AE947" s="129"/>
      <c r="AF947" s="129"/>
      <c r="AG947" s="129"/>
      <c r="AH947" s="129"/>
      <c r="AI947" s="129"/>
      <c r="AJ947" s="129"/>
      <c r="AK947" s="129"/>
      <c r="AL947" s="129"/>
      <c r="AM947" s="129"/>
      <c r="AN947" s="129"/>
      <c r="AO947" s="129"/>
      <c r="AP947" s="129"/>
      <c r="AQ947" s="129"/>
      <c r="AR947" s="129"/>
      <c r="AS947" s="129"/>
      <c r="AT947" s="129"/>
      <c r="AU947" s="129"/>
      <c r="AV947" s="129"/>
      <c r="AW947" s="129"/>
      <c r="AX947" s="129"/>
      <c r="AY947" s="129"/>
      <c r="AZ947" s="129"/>
      <c r="BA947" s="129"/>
      <c r="BB947" s="129"/>
      <c r="BC947" s="129"/>
      <c r="BD947" s="129"/>
      <c r="BE947" s="130"/>
    </row>
    <row r="948" spans="1:57" s="48" customFormat="1" ht="14.25" customHeight="1" x14ac:dyDescent="0.2">
      <c r="A948" s="717"/>
      <c r="B948" s="701"/>
      <c r="C948" s="740"/>
      <c r="D948" s="189">
        <v>2023</v>
      </c>
      <c r="E948" s="188">
        <f t="shared" si="382"/>
        <v>9.9599999999999994E-2</v>
      </c>
      <c r="F948" s="188">
        <v>9.9599999999999994E-2</v>
      </c>
      <c r="G948" s="188">
        <v>0</v>
      </c>
      <c r="H948" s="188">
        <v>0</v>
      </c>
      <c r="I948" s="188">
        <v>0</v>
      </c>
      <c r="J948" s="188">
        <v>0</v>
      </c>
      <c r="K948" s="261">
        <f t="shared" si="376"/>
        <v>9.9599999999999994E-2</v>
      </c>
      <c r="L948" s="94"/>
      <c r="M948" s="50"/>
      <c r="N948" s="95"/>
      <c r="O948" s="747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/>
      <c r="BB948" s="65"/>
      <c r="BC948" s="65"/>
      <c r="BD948" s="65"/>
      <c r="BE948" s="66"/>
    </row>
    <row r="949" spans="1:57" s="48" customFormat="1" ht="14.25" customHeight="1" x14ac:dyDescent="0.2">
      <c r="A949" s="717"/>
      <c r="B949" s="701"/>
      <c r="C949" s="740"/>
      <c r="D949" s="189">
        <v>2024</v>
      </c>
      <c r="E949" s="188">
        <f t="shared" si="382"/>
        <v>0.1036</v>
      </c>
      <c r="F949" s="188">
        <v>0.1036</v>
      </c>
      <c r="G949" s="188">
        <v>0</v>
      </c>
      <c r="H949" s="188">
        <v>0</v>
      </c>
      <c r="I949" s="188">
        <v>0</v>
      </c>
      <c r="J949" s="188">
        <v>0</v>
      </c>
      <c r="K949" s="261">
        <f t="shared" si="376"/>
        <v>0.1036</v>
      </c>
      <c r="L949" s="94"/>
      <c r="M949" s="50"/>
      <c r="N949" s="95"/>
      <c r="O949" s="747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/>
      <c r="BB949" s="65"/>
      <c r="BC949" s="65"/>
      <c r="BD949" s="65"/>
      <c r="BE949" s="66"/>
    </row>
    <row r="950" spans="1:57" s="48" customFormat="1" ht="14.25" customHeight="1" x14ac:dyDescent="0.2">
      <c r="A950" s="717"/>
      <c r="B950" s="701"/>
      <c r="C950" s="741"/>
      <c r="D950" s="189">
        <v>2025</v>
      </c>
      <c r="E950" s="188">
        <f t="shared" si="382"/>
        <v>0.1077</v>
      </c>
      <c r="F950" s="188">
        <v>0.1077</v>
      </c>
      <c r="G950" s="188">
        <v>0</v>
      </c>
      <c r="H950" s="188">
        <v>0</v>
      </c>
      <c r="I950" s="188">
        <v>0</v>
      </c>
      <c r="J950" s="188">
        <v>0</v>
      </c>
      <c r="K950" s="261">
        <f t="shared" si="376"/>
        <v>0.1077</v>
      </c>
      <c r="L950" s="94"/>
      <c r="M950" s="50"/>
      <c r="N950" s="95"/>
      <c r="O950" s="747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/>
      <c r="BB950" s="65"/>
      <c r="BC950" s="65"/>
      <c r="BD950" s="65"/>
      <c r="BE950" s="66"/>
    </row>
    <row r="951" spans="1:57" s="48" customFormat="1" ht="14.25" customHeight="1" x14ac:dyDescent="0.2">
      <c r="A951" s="717"/>
      <c r="B951" s="701"/>
      <c r="C951" s="739" t="s">
        <v>886</v>
      </c>
      <c r="D951" s="189">
        <v>2026</v>
      </c>
      <c r="E951" s="188">
        <f t="shared" si="382"/>
        <v>0.112</v>
      </c>
      <c r="F951" s="188">
        <v>0.112</v>
      </c>
      <c r="G951" s="188">
        <v>0</v>
      </c>
      <c r="H951" s="188">
        <v>0</v>
      </c>
      <c r="I951" s="188">
        <v>0</v>
      </c>
      <c r="J951" s="188">
        <v>0</v>
      </c>
      <c r="K951" s="261">
        <f t="shared" si="376"/>
        <v>0.112</v>
      </c>
      <c r="L951" s="94"/>
      <c r="M951" s="50"/>
      <c r="N951" s="95"/>
      <c r="O951" s="747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/>
      <c r="BB951" s="65"/>
      <c r="BC951" s="65"/>
      <c r="BD951" s="65"/>
      <c r="BE951" s="66"/>
    </row>
    <row r="952" spans="1:57" s="48" customFormat="1" ht="14.25" customHeight="1" x14ac:dyDescent="0.2">
      <c r="A952" s="717"/>
      <c r="B952" s="701"/>
      <c r="C952" s="740"/>
      <c r="D952" s="189">
        <v>2027</v>
      </c>
      <c r="E952" s="188">
        <f t="shared" si="382"/>
        <v>0.11650000000000001</v>
      </c>
      <c r="F952" s="188">
        <v>0.11650000000000001</v>
      </c>
      <c r="G952" s="188">
        <v>0</v>
      </c>
      <c r="H952" s="188">
        <v>0</v>
      </c>
      <c r="I952" s="188">
        <v>0</v>
      </c>
      <c r="J952" s="188">
        <v>0</v>
      </c>
      <c r="K952" s="261">
        <f t="shared" si="376"/>
        <v>0.11650000000000001</v>
      </c>
      <c r="L952" s="94"/>
      <c r="M952" s="50"/>
      <c r="N952" s="95"/>
      <c r="O952" s="747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/>
      <c r="BB952" s="65"/>
      <c r="BC952" s="65"/>
      <c r="BD952" s="65"/>
      <c r="BE952" s="66"/>
    </row>
    <row r="953" spans="1:57" s="48" customFormat="1" ht="14.25" customHeight="1" x14ac:dyDescent="0.2">
      <c r="A953" s="717"/>
      <c r="B953" s="701"/>
      <c r="C953" s="740"/>
      <c r="D953" s="189">
        <v>2028</v>
      </c>
      <c r="E953" s="188">
        <f t="shared" si="382"/>
        <v>0.1212</v>
      </c>
      <c r="F953" s="188">
        <v>0.1212</v>
      </c>
      <c r="G953" s="188">
        <v>0</v>
      </c>
      <c r="H953" s="188">
        <v>0</v>
      </c>
      <c r="I953" s="188">
        <v>0</v>
      </c>
      <c r="J953" s="188">
        <v>0</v>
      </c>
      <c r="K953" s="261">
        <f t="shared" si="376"/>
        <v>0.1212</v>
      </c>
      <c r="L953" s="94"/>
      <c r="M953" s="50"/>
      <c r="N953" s="95"/>
      <c r="O953" s="747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/>
      <c r="BB953" s="65"/>
      <c r="BC953" s="65"/>
      <c r="BD953" s="65"/>
      <c r="BE953" s="66"/>
    </row>
    <row r="954" spans="1:57" s="48" customFormat="1" ht="14.25" customHeight="1" x14ac:dyDescent="0.2">
      <c r="A954" s="717"/>
      <c r="B954" s="701"/>
      <c r="C954" s="740"/>
      <c r="D954" s="189">
        <v>2029</v>
      </c>
      <c r="E954" s="188">
        <f t="shared" si="382"/>
        <v>0.126</v>
      </c>
      <c r="F954" s="188">
        <v>0.126</v>
      </c>
      <c r="G954" s="188">
        <v>0</v>
      </c>
      <c r="H954" s="188">
        <v>0</v>
      </c>
      <c r="I954" s="188">
        <v>0</v>
      </c>
      <c r="J954" s="188">
        <v>0</v>
      </c>
      <c r="K954" s="261">
        <f t="shared" si="376"/>
        <v>0.126</v>
      </c>
      <c r="L954" s="94"/>
      <c r="M954" s="50"/>
      <c r="N954" s="95"/>
      <c r="O954" s="747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/>
      <c r="BB954" s="65"/>
      <c r="BC954" s="65"/>
      <c r="BD954" s="65"/>
      <c r="BE954" s="66"/>
    </row>
    <row r="955" spans="1:57" s="48" customFormat="1" ht="14.25" customHeight="1" x14ac:dyDescent="0.2">
      <c r="A955" s="734"/>
      <c r="B955" s="702"/>
      <c r="C955" s="741"/>
      <c r="D955" s="189">
        <v>2030</v>
      </c>
      <c r="E955" s="188">
        <f t="shared" si="382"/>
        <v>0.13100000000000001</v>
      </c>
      <c r="F955" s="188">
        <v>0.13100000000000001</v>
      </c>
      <c r="G955" s="188">
        <v>0</v>
      </c>
      <c r="H955" s="188">
        <v>0</v>
      </c>
      <c r="I955" s="188">
        <v>0</v>
      </c>
      <c r="J955" s="188">
        <v>0</v>
      </c>
      <c r="K955" s="261">
        <f t="shared" si="376"/>
        <v>0.13100000000000001</v>
      </c>
      <c r="L955" s="94"/>
      <c r="M955" s="50"/>
      <c r="N955" s="95"/>
      <c r="O955" s="748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/>
      <c r="BB955" s="65"/>
      <c r="BC955" s="65"/>
      <c r="BD955" s="65"/>
      <c r="BE955" s="66"/>
    </row>
    <row r="956" spans="1:57" s="48" customFormat="1" ht="14.25" customHeight="1" x14ac:dyDescent="0.2">
      <c r="A956" s="732" t="s">
        <v>702</v>
      </c>
      <c r="B956" s="649" t="s">
        <v>614</v>
      </c>
      <c r="C956" s="193"/>
      <c r="D956" s="46" t="s">
        <v>198</v>
      </c>
      <c r="E956" s="47">
        <f>E969</f>
        <v>0</v>
      </c>
      <c r="F956" s="47">
        <f t="shared" ref="F956:J956" si="383">F969</f>
        <v>0</v>
      </c>
      <c r="G956" s="47">
        <f t="shared" si="383"/>
        <v>0</v>
      </c>
      <c r="H956" s="47">
        <f t="shared" si="383"/>
        <v>0</v>
      </c>
      <c r="I956" s="47">
        <f t="shared" si="383"/>
        <v>0</v>
      </c>
      <c r="J956" s="47">
        <f t="shared" si="383"/>
        <v>0</v>
      </c>
      <c r="K956" s="261">
        <f t="shared" si="376"/>
        <v>0</v>
      </c>
      <c r="L956" s="94"/>
      <c r="M956" s="50"/>
      <c r="N956" s="95"/>
      <c r="O956" s="196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/>
      <c r="BB956" s="65"/>
      <c r="BC956" s="65"/>
      <c r="BD956" s="65"/>
      <c r="BE956" s="66"/>
    </row>
    <row r="957" spans="1:57" s="48" customFormat="1" ht="14.25" customHeight="1" x14ac:dyDescent="0.2">
      <c r="A957" s="717"/>
      <c r="B957" s="701"/>
      <c r="C957" s="193"/>
      <c r="D957" s="46">
        <v>2019</v>
      </c>
      <c r="E957" s="47">
        <f t="shared" ref="E957:J968" si="384">E970</f>
        <v>0</v>
      </c>
      <c r="F957" s="47">
        <f t="shared" si="384"/>
        <v>0</v>
      </c>
      <c r="G957" s="47">
        <f t="shared" si="384"/>
        <v>0</v>
      </c>
      <c r="H957" s="47">
        <f t="shared" si="384"/>
        <v>0</v>
      </c>
      <c r="I957" s="47">
        <f t="shared" si="384"/>
        <v>0</v>
      </c>
      <c r="J957" s="47">
        <f t="shared" si="384"/>
        <v>0</v>
      </c>
      <c r="K957" s="261">
        <f t="shared" si="376"/>
        <v>0</v>
      </c>
      <c r="L957" s="94"/>
      <c r="M957" s="50"/>
      <c r="N957" s="95"/>
      <c r="O957" s="196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/>
      <c r="BB957" s="65"/>
      <c r="BC957" s="65"/>
      <c r="BD957" s="65"/>
      <c r="BE957" s="66"/>
    </row>
    <row r="958" spans="1:57" s="48" customFormat="1" ht="14.25" customHeight="1" x14ac:dyDescent="0.2">
      <c r="A958" s="717"/>
      <c r="B958" s="701"/>
      <c r="C958" s="193"/>
      <c r="D958" s="46">
        <v>2020</v>
      </c>
      <c r="E958" s="47">
        <f t="shared" si="384"/>
        <v>0</v>
      </c>
      <c r="F958" s="47">
        <f t="shared" si="384"/>
        <v>0</v>
      </c>
      <c r="G958" s="47">
        <f t="shared" si="384"/>
        <v>0</v>
      </c>
      <c r="H958" s="47">
        <f t="shared" si="384"/>
        <v>0</v>
      </c>
      <c r="I958" s="47">
        <f t="shared" si="384"/>
        <v>0</v>
      </c>
      <c r="J958" s="47">
        <f t="shared" si="384"/>
        <v>0</v>
      </c>
      <c r="K958" s="261">
        <f t="shared" si="376"/>
        <v>0</v>
      </c>
      <c r="L958" s="94"/>
      <c r="M958" s="50"/>
      <c r="N958" s="95"/>
      <c r="O958" s="196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/>
      <c r="BB958" s="65"/>
      <c r="BC958" s="65"/>
      <c r="BD958" s="65"/>
      <c r="BE958" s="66"/>
    </row>
    <row r="959" spans="1:57" s="48" customFormat="1" ht="14.25" customHeight="1" x14ac:dyDescent="0.2">
      <c r="A959" s="717"/>
      <c r="B959" s="701"/>
      <c r="C959" s="193"/>
      <c r="D959" s="46">
        <v>2021</v>
      </c>
      <c r="E959" s="47">
        <f t="shared" si="384"/>
        <v>0</v>
      </c>
      <c r="F959" s="47">
        <f t="shared" si="384"/>
        <v>0</v>
      </c>
      <c r="G959" s="47">
        <f t="shared" si="384"/>
        <v>0</v>
      </c>
      <c r="H959" s="47">
        <f t="shared" si="384"/>
        <v>0</v>
      </c>
      <c r="I959" s="47">
        <f t="shared" si="384"/>
        <v>0</v>
      </c>
      <c r="J959" s="47">
        <f t="shared" si="384"/>
        <v>0</v>
      </c>
      <c r="K959" s="261">
        <f t="shared" si="376"/>
        <v>0</v>
      </c>
      <c r="L959" s="94"/>
      <c r="M959" s="50"/>
      <c r="N959" s="95"/>
      <c r="O959" s="196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  <c r="BC959" s="65"/>
      <c r="BD959" s="65"/>
      <c r="BE959" s="66"/>
    </row>
    <row r="960" spans="1:57" s="48" customFormat="1" ht="14.25" customHeight="1" x14ac:dyDescent="0.2">
      <c r="A960" s="717"/>
      <c r="B960" s="701"/>
      <c r="C960" s="193"/>
      <c r="D960" s="46">
        <v>2022</v>
      </c>
      <c r="E960" s="47">
        <f t="shared" si="384"/>
        <v>0</v>
      </c>
      <c r="F960" s="47">
        <f t="shared" si="384"/>
        <v>0</v>
      </c>
      <c r="G960" s="47">
        <f t="shared" si="384"/>
        <v>0</v>
      </c>
      <c r="H960" s="47">
        <f t="shared" si="384"/>
        <v>0</v>
      </c>
      <c r="I960" s="47">
        <f t="shared" si="384"/>
        <v>0</v>
      </c>
      <c r="J960" s="47">
        <f t="shared" si="384"/>
        <v>0</v>
      </c>
      <c r="K960" s="261">
        <f t="shared" si="376"/>
        <v>0</v>
      </c>
      <c r="L960" s="94"/>
      <c r="M960" s="50"/>
      <c r="N960" s="95"/>
      <c r="O960" s="196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  <c r="BC960" s="65"/>
      <c r="BD960" s="65"/>
      <c r="BE960" s="66"/>
    </row>
    <row r="961" spans="1:57" s="48" customFormat="1" ht="14.25" customHeight="1" x14ac:dyDescent="0.2">
      <c r="A961" s="717"/>
      <c r="B961" s="701"/>
      <c r="C961" s="193"/>
      <c r="D961" s="46">
        <v>2023</v>
      </c>
      <c r="E961" s="47">
        <f t="shared" si="384"/>
        <v>0</v>
      </c>
      <c r="F961" s="47">
        <f t="shared" si="384"/>
        <v>0</v>
      </c>
      <c r="G961" s="47">
        <f t="shared" si="384"/>
        <v>0</v>
      </c>
      <c r="H961" s="47">
        <f t="shared" si="384"/>
        <v>0</v>
      </c>
      <c r="I961" s="47">
        <f t="shared" si="384"/>
        <v>0</v>
      </c>
      <c r="J961" s="47">
        <f t="shared" si="384"/>
        <v>0</v>
      </c>
      <c r="K961" s="261">
        <f t="shared" si="376"/>
        <v>0</v>
      </c>
      <c r="L961" s="94"/>
      <c r="M961" s="50"/>
      <c r="N961" s="95"/>
      <c r="O961" s="196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  <c r="BC961" s="65"/>
      <c r="BD961" s="65"/>
      <c r="BE961" s="66"/>
    </row>
    <row r="962" spans="1:57" s="48" customFormat="1" ht="14.25" customHeight="1" x14ac:dyDescent="0.2">
      <c r="A962" s="717"/>
      <c r="B962" s="701"/>
      <c r="C962" s="193"/>
      <c r="D962" s="46">
        <v>2024</v>
      </c>
      <c r="E962" s="47">
        <f t="shared" si="384"/>
        <v>0</v>
      </c>
      <c r="F962" s="47">
        <f t="shared" si="384"/>
        <v>0</v>
      </c>
      <c r="G962" s="47">
        <f t="shared" si="384"/>
        <v>0</v>
      </c>
      <c r="H962" s="47">
        <f t="shared" si="384"/>
        <v>0</v>
      </c>
      <c r="I962" s="47">
        <f t="shared" si="384"/>
        <v>0</v>
      </c>
      <c r="J962" s="47">
        <f t="shared" si="384"/>
        <v>0</v>
      </c>
      <c r="K962" s="261">
        <f t="shared" si="376"/>
        <v>0</v>
      </c>
      <c r="L962" s="94"/>
      <c r="M962" s="50"/>
      <c r="N962" s="95"/>
      <c r="O962" s="196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/>
      <c r="BB962" s="65"/>
      <c r="BC962" s="65"/>
      <c r="BD962" s="65"/>
      <c r="BE962" s="66"/>
    </row>
    <row r="963" spans="1:57" s="48" customFormat="1" ht="14.25" customHeight="1" x14ac:dyDescent="0.2">
      <c r="A963" s="717"/>
      <c r="B963" s="701"/>
      <c r="C963" s="193"/>
      <c r="D963" s="46">
        <v>2025</v>
      </c>
      <c r="E963" s="47">
        <f t="shared" si="384"/>
        <v>0</v>
      </c>
      <c r="F963" s="47">
        <f t="shared" si="384"/>
        <v>0</v>
      </c>
      <c r="G963" s="47">
        <f t="shared" si="384"/>
        <v>0</v>
      </c>
      <c r="H963" s="47">
        <f t="shared" si="384"/>
        <v>0</v>
      </c>
      <c r="I963" s="47">
        <f t="shared" si="384"/>
        <v>0</v>
      </c>
      <c r="J963" s="47">
        <f t="shared" si="384"/>
        <v>0</v>
      </c>
      <c r="K963" s="261">
        <f t="shared" si="376"/>
        <v>0</v>
      </c>
      <c r="L963" s="94"/>
      <c r="M963" s="50"/>
      <c r="N963" s="95"/>
      <c r="O963" s="196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  <c r="BC963" s="65"/>
      <c r="BD963" s="65"/>
      <c r="BE963" s="66"/>
    </row>
    <row r="964" spans="1:57" s="48" customFormat="1" ht="14.25" customHeight="1" x14ac:dyDescent="0.2">
      <c r="A964" s="717"/>
      <c r="B964" s="701"/>
      <c r="C964" s="193"/>
      <c r="D964" s="46">
        <v>2026</v>
      </c>
      <c r="E964" s="47">
        <f t="shared" si="384"/>
        <v>0</v>
      </c>
      <c r="F964" s="47">
        <f t="shared" si="384"/>
        <v>0</v>
      </c>
      <c r="G964" s="47">
        <f t="shared" si="384"/>
        <v>0</v>
      </c>
      <c r="H964" s="47">
        <f t="shared" si="384"/>
        <v>0</v>
      </c>
      <c r="I964" s="47">
        <f t="shared" si="384"/>
        <v>0</v>
      </c>
      <c r="J964" s="47">
        <f t="shared" si="384"/>
        <v>0</v>
      </c>
      <c r="K964" s="261">
        <f t="shared" si="376"/>
        <v>0</v>
      </c>
      <c r="L964" s="94"/>
      <c r="M964" s="50"/>
      <c r="N964" s="95"/>
      <c r="O964" s="196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  <c r="BC964" s="65"/>
      <c r="BD964" s="65"/>
      <c r="BE964" s="66"/>
    </row>
    <row r="965" spans="1:57" s="48" customFormat="1" ht="14.25" customHeight="1" x14ac:dyDescent="0.2">
      <c r="A965" s="717"/>
      <c r="B965" s="701"/>
      <c r="C965" s="193"/>
      <c r="D965" s="46">
        <v>2027</v>
      </c>
      <c r="E965" s="47">
        <f t="shared" si="384"/>
        <v>0</v>
      </c>
      <c r="F965" s="47">
        <f t="shared" si="384"/>
        <v>0</v>
      </c>
      <c r="G965" s="47">
        <f t="shared" si="384"/>
        <v>0</v>
      </c>
      <c r="H965" s="47">
        <f t="shared" si="384"/>
        <v>0</v>
      </c>
      <c r="I965" s="47">
        <f t="shared" si="384"/>
        <v>0</v>
      </c>
      <c r="J965" s="47">
        <f t="shared" si="384"/>
        <v>0</v>
      </c>
      <c r="K965" s="261">
        <f t="shared" si="376"/>
        <v>0</v>
      </c>
      <c r="L965" s="94"/>
      <c r="M965" s="50"/>
      <c r="N965" s="95"/>
      <c r="O965" s="196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/>
      <c r="BB965" s="65"/>
      <c r="BC965" s="65"/>
      <c r="BD965" s="65"/>
      <c r="BE965" s="66"/>
    </row>
    <row r="966" spans="1:57" s="48" customFormat="1" ht="14.25" customHeight="1" x14ac:dyDescent="0.2">
      <c r="A966" s="717"/>
      <c r="B966" s="701"/>
      <c r="C966" s="193"/>
      <c r="D966" s="46">
        <v>2028</v>
      </c>
      <c r="E966" s="47">
        <f t="shared" si="384"/>
        <v>0</v>
      </c>
      <c r="F966" s="47">
        <f t="shared" si="384"/>
        <v>0</v>
      </c>
      <c r="G966" s="47">
        <f t="shared" si="384"/>
        <v>0</v>
      </c>
      <c r="H966" s="47">
        <f t="shared" si="384"/>
        <v>0</v>
      </c>
      <c r="I966" s="47">
        <f t="shared" si="384"/>
        <v>0</v>
      </c>
      <c r="J966" s="47">
        <f t="shared" si="384"/>
        <v>0</v>
      </c>
      <c r="K966" s="261">
        <f t="shared" si="376"/>
        <v>0</v>
      </c>
      <c r="L966" s="94"/>
      <c r="M966" s="50"/>
      <c r="N966" s="95"/>
      <c r="O966" s="196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  <c r="BC966" s="65"/>
      <c r="BD966" s="65"/>
      <c r="BE966" s="66"/>
    </row>
    <row r="967" spans="1:57" s="48" customFormat="1" ht="14.25" customHeight="1" x14ac:dyDescent="0.2">
      <c r="A967" s="717"/>
      <c r="B967" s="701"/>
      <c r="C967" s="193"/>
      <c r="D967" s="46">
        <v>2029</v>
      </c>
      <c r="E967" s="47">
        <f t="shared" si="384"/>
        <v>0</v>
      </c>
      <c r="F967" s="47">
        <f t="shared" si="384"/>
        <v>0</v>
      </c>
      <c r="G967" s="47">
        <f t="shared" si="384"/>
        <v>0</v>
      </c>
      <c r="H967" s="47">
        <f t="shared" si="384"/>
        <v>0</v>
      </c>
      <c r="I967" s="47">
        <f t="shared" si="384"/>
        <v>0</v>
      </c>
      <c r="J967" s="47">
        <f t="shared" si="384"/>
        <v>0</v>
      </c>
      <c r="K967" s="261">
        <f t="shared" si="376"/>
        <v>0</v>
      </c>
      <c r="L967" s="94"/>
      <c r="M967" s="50"/>
      <c r="N967" s="95"/>
      <c r="O967" s="196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6"/>
    </row>
    <row r="968" spans="1:57" s="48" customFormat="1" ht="14.25" customHeight="1" x14ac:dyDescent="0.2">
      <c r="A968" s="734"/>
      <c r="B968" s="702"/>
      <c r="C968" s="194"/>
      <c r="D968" s="46">
        <v>2030</v>
      </c>
      <c r="E968" s="47">
        <f t="shared" si="384"/>
        <v>0</v>
      </c>
      <c r="F968" s="47">
        <f t="shared" si="384"/>
        <v>0</v>
      </c>
      <c r="G968" s="47">
        <f t="shared" si="384"/>
        <v>0</v>
      </c>
      <c r="H968" s="47">
        <f t="shared" si="384"/>
        <v>0</v>
      </c>
      <c r="I968" s="47">
        <f t="shared" si="384"/>
        <v>0</v>
      </c>
      <c r="J968" s="47">
        <f t="shared" si="384"/>
        <v>0</v>
      </c>
      <c r="K968" s="261">
        <f t="shared" si="376"/>
        <v>0</v>
      </c>
      <c r="L968" s="94"/>
      <c r="M968" s="50"/>
      <c r="N968" s="95"/>
      <c r="O968" s="196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6"/>
    </row>
    <row r="969" spans="1:57" s="48" customFormat="1" ht="14.25" customHeight="1" x14ac:dyDescent="0.2">
      <c r="A969" s="662" t="s">
        <v>703</v>
      </c>
      <c r="B969" s="631" t="s">
        <v>835</v>
      </c>
      <c r="C969" s="739"/>
      <c r="D969" s="46" t="s">
        <v>198</v>
      </c>
      <c r="E969" s="47">
        <f>E970+E971+E972+E973+E974+E975+E976+E977+E978+E979+E980+E981</f>
        <v>0</v>
      </c>
      <c r="F969" s="47">
        <f t="shared" ref="F969:J969" si="385">F970+F971+F972+F973+F974+F975+F976+F977+F978+F979+F980+F981</f>
        <v>0</v>
      </c>
      <c r="G969" s="47">
        <f t="shared" si="385"/>
        <v>0</v>
      </c>
      <c r="H969" s="47">
        <f t="shared" si="385"/>
        <v>0</v>
      </c>
      <c r="I969" s="47">
        <f t="shared" si="385"/>
        <v>0</v>
      </c>
      <c r="J969" s="47">
        <f t="shared" si="385"/>
        <v>0</v>
      </c>
      <c r="K969" s="261">
        <f t="shared" si="376"/>
        <v>0</v>
      </c>
      <c r="L969" s="94"/>
      <c r="M969" s="50"/>
      <c r="N969" s="95"/>
      <c r="O969" s="746" t="s">
        <v>739</v>
      </c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6"/>
    </row>
    <row r="970" spans="1:57" s="48" customFormat="1" ht="14.25" customHeight="1" x14ac:dyDescent="0.2">
      <c r="A970" s="717"/>
      <c r="B970" s="648"/>
      <c r="C970" s="701"/>
      <c r="D970" s="189">
        <v>2019</v>
      </c>
      <c r="E970" s="188">
        <v>0</v>
      </c>
      <c r="F970" s="188">
        <v>0</v>
      </c>
      <c r="G970" s="188">
        <v>0</v>
      </c>
      <c r="H970" s="188">
        <v>0</v>
      </c>
      <c r="I970" s="188">
        <v>0</v>
      </c>
      <c r="J970" s="188">
        <v>0</v>
      </c>
      <c r="K970" s="261">
        <f t="shared" si="376"/>
        <v>0</v>
      </c>
      <c r="L970" s="94"/>
      <c r="M970" s="50"/>
      <c r="N970" s="95"/>
      <c r="O970" s="701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6"/>
    </row>
    <row r="971" spans="1:57" s="48" customFormat="1" ht="14.25" customHeight="1" x14ac:dyDescent="0.2">
      <c r="A971" s="717"/>
      <c r="B971" s="648"/>
      <c r="C971" s="701"/>
      <c r="D971" s="189">
        <v>2020</v>
      </c>
      <c r="E971" s="188">
        <v>0</v>
      </c>
      <c r="F971" s="188">
        <v>0</v>
      </c>
      <c r="G971" s="188">
        <v>0</v>
      </c>
      <c r="H971" s="188">
        <v>0</v>
      </c>
      <c r="I971" s="188">
        <v>0</v>
      </c>
      <c r="J971" s="188">
        <v>0</v>
      </c>
      <c r="K971" s="261">
        <f t="shared" si="376"/>
        <v>0</v>
      </c>
      <c r="L971" s="94"/>
      <c r="M971" s="50"/>
      <c r="N971" s="95"/>
      <c r="O971" s="701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6"/>
    </row>
    <row r="972" spans="1:57" s="48" customFormat="1" ht="14.25" customHeight="1" x14ac:dyDescent="0.2">
      <c r="A972" s="717"/>
      <c r="B972" s="648"/>
      <c r="C972" s="701"/>
      <c r="D972" s="189">
        <v>2021</v>
      </c>
      <c r="E972" s="188">
        <v>0</v>
      </c>
      <c r="F972" s="188">
        <v>0</v>
      </c>
      <c r="G972" s="188">
        <v>0</v>
      </c>
      <c r="H972" s="188">
        <v>0</v>
      </c>
      <c r="I972" s="188">
        <v>0</v>
      </c>
      <c r="J972" s="188">
        <v>0</v>
      </c>
      <c r="K972" s="261">
        <f t="shared" si="376"/>
        <v>0</v>
      </c>
      <c r="L972" s="94"/>
      <c r="M972" s="50"/>
      <c r="N972" s="95"/>
      <c r="O972" s="701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/>
      <c r="BB972" s="65"/>
      <c r="BC972" s="65"/>
      <c r="BD972" s="65"/>
      <c r="BE972" s="66"/>
    </row>
    <row r="973" spans="1:57" s="48" customFormat="1" ht="14.25" customHeight="1" x14ac:dyDescent="0.2">
      <c r="A973" s="717"/>
      <c r="B973" s="648"/>
      <c r="C973" s="701"/>
      <c r="D973" s="189">
        <v>2022</v>
      </c>
      <c r="E973" s="188">
        <v>0</v>
      </c>
      <c r="F973" s="188">
        <v>0</v>
      </c>
      <c r="G973" s="188">
        <v>0</v>
      </c>
      <c r="H973" s="188">
        <v>0</v>
      </c>
      <c r="I973" s="188">
        <v>0</v>
      </c>
      <c r="J973" s="188">
        <v>0</v>
      </c>
      <c r="K973" s="261">
        <f t="shared" si="376"/>
        <v>0</v>
      </c>
      <c r="L973" s="94"/>
      <c r="M973" s="50"/>
      <c r="N973" s="95"/>
      <c r="O973" s="701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6"/>
    </row>
    <row r="974" spans="1:57" s="48" customFormat="1" ht="14.25" customHeight="1" x14ac:dyDescent="0.2">
      <c r="A974" s="717"/>
      <c r="B974" s="648"/>
      <c r="C974" s="701"/>
      <c r="D974" s="189">
        <v>2023</v>
      </c>
      <c r="E974" s="188">
        <v>0</v>
      </c>
      <c r="F974" s="188">
        <v>0</v>
      </c>
      <c r="G974" s="188">
        <v>0</v>
      </c>
      <c r="H974" s="188">
        <v>0</v>
      </c>
      <c r="I974" s="188">
        <v>0</v>
      </c>
      <c r="J974" s="188">
        <v>0</v>
      </c>
      <c r="K974" s="261">
        <f t="shared" si="376"/>
        <v>0</v>
      </c>
      <c r="L974" s="94"/>
      <c r="M974" s="50"/>
      <c r="N974" s="95"/>
      <c r="O974" s="701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6"/>
    </row>
    <row r="975" spans="1:57" s="48" customFormat="1" ht="14.25" customHeight="1" x14ac:dyDescent="0.2">
      <c r="A975" s="717"/>
      <c r="B975" s="648"/>
      <c r="C975" s="701"/>
      <c r="D975" s="189">
        <v>2024</v>
      </c>
      <c r="E975" s="188">
        <v>0</v>
      </c>
      <c r="F975" s="188">
        <v>0</v>
      </c>
      <c r="G975" s="188">
        <v>0</v>
      </c>
      <c r="H975" s="188">
        <v>0</v>
      </c>
      <c r="I975" s="188">
        <v>0</v>
      </c>
      <c r="J975" s="188">
        <v>0</v>
      </c>
      <c r="K975" s="261">
        <f t="shared" si="376"/>
        <v>0</v>
      </c>
      <c r="L975" s="94"/>
      <c r="M975" s="50"/>
      <c r="N975" s="95"/>
      <c r="O975" s="701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  <c r="AP975" s="65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/>
      <c r="BB975" s="65"/>
      <c r="BC975" s="65"/>
      <c r="BD975" s="65"/>
      <c r="BE975" s="66"/>
    </row>
    <row r="976" spans="1:57" s="48" customFormat="1" ht="14.25" customHeight="1" x14ac:dyDescent="0.2">
      <c r="A976" s="717"/>
      <c r="B976" s="648"/>
      <c r="C976" s="701"/>
      <c r="D976" s="189">
        <v>2025</v>
      </c>
      <c r="E976" s="188">
        <v>0</v>
      </c>
      <c r="F976" s="188">
        <v>0</v>
      </c>
      <c r="G976" s="188">
        <v>0</v>
      </c>
      <c r="H976" s="188">
        <v>0</v>
      </c>
      <c r="I976" s="188">
        <v>0</v>
      </c>
      <c r="J976" s="188">
        <v>0</v>
      </c>
      <c r="K976" s="261">
        <f t="shared" ref="K976:K1039" si="386">F976+G976+H976+I976+J976</f>
        <v>0</v>
      </c>
      <c r="L976" s="94"/>
      <c r="M976" s="50"/>
      <c r="N976" s="95"/>
      <c r="O976" s="701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6"/>
    </row>
    <row r="977" spans="1:57" s="48" customFormat="1" ht="14.25" customHeight="1" x14ac:dyDescent="0.2">
      <c r="A977" s="717"/>
      <c r="B977" s="648"/>
      <c r="C977" s="701"/>
      <c r="D977" s="189">
        <v>2026</v>
      </c>
      <c r="E977" s="188">
        <v>0</v>
      </c>
      <c r="F977" s="188">
        <v>0</v>
      </c>
      <c r="G977" s="188">
        <v>0</v>
      </c>
      <c r="H977" s="188">
        <v>0</v>
      </c>
      <c r="I977" s="188">
        <v>0</v>
      </c>
      <c r="J977" s="188">
        <v>0</v>
      </c>
      <c r="K977" s="261">
        <f t="shared" si="386"/>
        <v>0</v>
      </c>
      <c r="L977" s="94"/>
      <c r="M977" s="50"/>
      <c r="N977" s="95"/>
      <c r="O977" s="701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6"/>
    </row>
    <row r="978" spans="1:57" s="48" customFormat="1" ht="14.25" customHeight="1" x14ac:dyDescent="0.2">
      <c r="A978" s="717"/>
      <c r="B978" s="648"/>
      <c r="C978" s="701"/>
      <c r="D978" s="189">
        <v>2027</v>
      </c>
      <c r="E978" s="188">
        <v>0</v>
      </c>
      <c r="F978" s="188">
        <v>0</v>
      </c>
      <c r="G978" s="188">
        <v>0</v>
      </c>
      <c r="H978" s="188">
        <v>0</v>
      </c>
      <c r="I978" s="188">
        <v>0</v>
      </c>
      <c r="J978" s="188">
        <v>0</v>
      </c>
      <c r="K978" s="261">
        <f t="shared" si="386"/>
        <v>0</v>
      </c>
      <c r="L978" s="94"/>
      <c r="M978" s="50"/>
      <c r="N978" s="95"/>
      <c r="O978" s="701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/>
      <c r="BB978" s="65"/>
      <c r="BC978" s="65"/>
      <c r="BD978" s="65"/>
      <c r="BE978" s="66"/>
    </row>
    <row r="979" spans="1:57" s="48" customFormat="1" ht="14.25" customHeight="1" x14ac:dyDescent="0.2">
      <c r="A979" s="717"/>
      <c r="B979" s="648"/>
      <c r="C979" s="701"/>
      <c r="D979" s="189">
        <v>2028</v>
      </c>
      <c r="E979" s="188">
        <v>0</v>
      </c>
      <c r="F979" s="188">
        <v>0</v>
      </c>
      <c r="G979" s="188">
        <v>0</v>
      </c>
      <c r="H979" s="188">
        <v>0</v>
      </c>
      <c r="I979" s="188">
        <v>0</v>
      </c>
      <c r="J979" s="188">
        <v>0</v>
      </c>
      <c r="K979" s="261">
        <f t="shared" si="386"/>
        <v>0</v>
      </c>
      <c r="L979" s="94"/>
      <c r="M979" s="50"/>
      <c r="N979" s="95"/>
      <c r="O979" s="701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6"/>
    </row>
    <row r="980" spans="1:57" s="48" customFormat="1" ht="14.25" customHeight="1" x14ac:dyDescent="0.2">
      <c r="A980" s="717"/>
      <c r="B980" s="648"/>
      <c r="C980" s="701"/>
      <c r="D980" s="189">
        <v>2029</v>
      </c>
      <c r="E980" s="188">
        <v>0</v>
      </c>
      <c r="F980" s="188">
        <v>0</v>
      </c>
      <c r="G980" s="188">
        <v>0</v>
      </c>
      <c r="H980" s="188">
        <v>0</v>
      </c>
      <c r="I980" s="188">
        <v>0</v>
      </c>
      <c r="J980" s="188">
        <v>0</v>
      </c>
      <c r="K980" s="261">
        <f t="shared" si="386"/>
        <v>0</v>
      </c>
      <c r="L980" s="94"/>
      <c r="M980" s="50"/>
      <c r="N980" s="95"/>
      <c r="O980" s="701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  <c r="BC980" s="65"/>
      <c r="BD980" s="65"/>
      <c r="BE980" s="66"/>
    </row>
    <row r="981" spans="1:57" s="48" customFormat="1" ht="14.25" customHeight="1" x14ac:dyDescent="0.2">
      <c r="A981" s="734"/>
      <c r="B981" s="632"/>
      <c r="C981" s="702"/>
      <c r="D981" s="189">
        <v>2030</v>
      </c>
      <c r="E981" s="188">
        <v>0</v>
      </c>
      <c r="F981" s="188">
        <v>0</v>
      </c>
      <c r="G981" s="188">
        <v>0</v>
      </c>
      <c r="H981" s="188">
        <v>0</v>
      </c>
      <c r="I981" s="188">
        <v>0</v>
      </c>
      <c r="J981" s="188">
        <v>0</v>
      </c>
      <c r="K981" s="261">
        <f t="shared" si="386"/>
        <v>0</v>
      </c>
      <c r="L981" s="94"/>
      <c r="M981" s="50"/>
      <c r="N981" s="95"/>
      <c r="O981" s="702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  <c r="AP981" s="65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/>
      <c r="BB981" s="65"/>
      <c r="BC981" s="65"/>
      <c r="BD981" s="65"/>
      <c r="BE981" s="66"/>
    </row>
    <row r="982" spans="1:57" s="48" customFormat="1" ht="14.25" customHeight="1" x14ac:dyDescent="0.2">
      <c r="A982" s="731" t="s">
        <v>704</v>
      </c>
      <c r="B982" s="649" t="s">
        <v>293</v>
      </c>
      <c r="C982" s="193"/>
      <c r="D982" s="46" t="s">
        <v>198</v>
      </c>
      <c r="E982" s="47">
        <f>E983+E984+E985+E986+E987+E988+E989+E990+E991+E992+E993+E994</f>
        <v>1989.0156000000002</v>
      </c>
      <c r="F982" s="47">
        <f t="shared" ref="F982:J982" si="387">F983+F984+F985+F986+F987+F988+F989+F990+F991+F992+F993+F994</f>
        <v>1884.7554000000002</v>
      </c>
      <c r="G982" s="47">
        <f t="shared" si="387"/>
        <v>0</v>
      </c>
      <c r="H982" s="47">
        <f t="shared" si="387"/>
        <v>0</v>
      </c>
      <c r="I982" s="47">
        <f t="shared" si="387"/>
        <v>0</v>
      </c>
      <c r="J982" s="47">
        <f t="shared" si="387"/>
        <v>104.26020000000001</v>
      </c>
      <c r="K982" s="261">
        <f t="shared" si="386"/>
        <v>1989.0156000000002</v>
      </c>
      <c r="L982" s="94"/>
      <c r="M982" s="50"/>
      <c r="N982" s="95"/>
      <c r="O982" s="196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  <c r="AP982" s="65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/>
      <c r="BB982" s="65"/>
      <c r="BC982" s="65"/>
      <c r="BD982" s="65"/>
      <c r="BE982" s="66"/>
    </row>
    <row r="983" spans="1:57" s="48" customFormat="1" ht="14.25" customHeight="1" x14ac:dyDescent="0.2">
      <c r="A983" s="732"/>
      <c r="B983" s="650"/>
      <c r="C983" s="193"/>
      <c r="D983" s="46">
        <v>2019</v>
      </c>
      <c r="E983" s="47">
        <f>E996+E1021</f>
        <v>179.2253</v>
      </c>
      <c r="F983" s="47">
        <f>F996+F1021</f>
        <v>169.74709999999999</v>
      </c>
      <c r="G983" s="47">
        <f t="shared" ref="G983:J983" si="388">G996+G1021</f>
        <v>0</v>
      </c>
      <c r="H983" s="47">
        <f t="shared" si="388"/>
        <v>0</v>
      </c>
      <c r="I983" s="47">
        <f t="shared" si="388"/>
        <v>0</v>
      </c>
      <c r="J983" s="47">
        <f t="shared" si="388"/>
        <v>9.4781999999999993</v>
      </c>
      <c r="K983" s="261">
        <f t="shared" si="386"/>
        <v>179.22529999999998</v>
      </c>
      <c r="L983" s="94"/>
      <c r="M983" s="50"/>
      <c r="N983" s="95"/>
      <c r="O983" s="196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  <c r="BC983" s="65"/>
      <c r="BD983" s="65"/>
      <c r="BE983" s="66"/>
    </row>
    <row r="984" spans="1:57" s="48" customFormat="1" ht="14.25" customHeight="1" x14ac:dyDescent="0.2">
      <c r="A984" s="732"/>
      <c r="B984" s="650"/>
      <c r="C984" s="193"/>
      <c r="D984" s="46">
        <v>2020</v>
      </c>
      <c r="E984" s="47">
        <f>E997+E1022+E1009</f>
        <v>177.33180000000002</v>
      </c>
      <c r="F984" s="47">
        <f>F997+F1022+F1009</f>
        <v>167.8536</v>
      </c>
      <c r="G984" s="47">
        <f t="shared" ref="G984:J994" si="389">G997+G1022+G1009</f>
        <v>0</v>
      </c>
      <c r="H984" s="47">
        <f t="shared" si="389"/>
        <v>0</v>
      </c>
      <c r="I984" s="47">
        <f t="shared" si="389"/>
        <v>0</v>
      </c>
      <c r="J984" s="47">
        <f t="shared" si="389"/>
        <v>9.4782000000000011</v>
      </c>
      <c r="K984" s="261">
        <f t="shared" si="386"/>
        <v>177.33179999999999</v>
      </c>
      <c r="L984" s="94"/>
      <c r="M984" s="50"/>
      <c r="N984" s="95"/>
      <c r="O984" s="196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  <c r="BC984" s="65"/>
      <c r="BD984" s="65"/>
      <c r="BE984" s="66"/>
    </row>
    <row r="985" spans="1:57" s="48" customFormat="1" ht="14.25" customHeight="1" x14ac:dyDescent="0.2">
      <c r="A985" s="732"/>
      <c r="B985" s="650"/>
      <c r="C985" s="193"/>
      <c r="D985" s="46">
        <v>2021</v>
      </c>
      <c r="E985" s="47">
        <f>E998+E1023+E1010</f>
        <v>159.95349999999999</v>
      </c>
      <c r="F985" s="47">
        <f>F998+F1023+F1010</f>
        <v>150.4753</v>
      </c>
      <c r="G985" s="47">
        <f t="shared" ref="G985:I994" si="390">G998+G1023</f>
        <v>0</v>
      </c>
      <c r="H985" s="47">
        <f t="shared" si="390"/>
        <v>0</v>
      </c>
      <c r="I985" s="47">
        <f t="shared" si="390"/>
        <v>0</v>
      </c>
      <c r="J985" s="47">
        <f t="shared" si="389"/>
        <v>9.4782000000000011</v>
      </c>
      <c r="K985" s="261">
        <f t="shared" si="386"/>
        <v>159.95350000000002</v>
      </c>
      <c r="L985" s="94"/>
      <c r="M985" s="50"/>
      <c r="N985" s="95"/>
      <c r="O985" s="196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/>
      <c r="BB985" s="65"/>
      <c r="BC985" s="65"/>
      <c r="BD985" s="65"/>
      <c r="BE985" s="66"/>
    </row>
    <row r="986" spans="1:57" s="48" customFormat="1" ht="14.25" customHeight="1" x14ac:dyDescent="0.2">
      <c r="A986" s="732"/>
      <c r="B986" s="650"/>
      <c r="C986" s="193"/>
      <c r="D986" s="46">
        <v>2022</v>
      </c>
      <c r="E986" s="47">
        <f t="shared" ref="E986:F994" si="391">E999+E1024+E1011</f>
        <v>153.92019999999999</v>
      </c>
      <c r="F986" s="47">
        <f t="shared" si="391"/>
        <v>153.92019999999999</v>
      </c>
      <c r="G986" s="47">
        <f t="shared" si="390"/>
        <v>0</v>
      </c>
      <c r="H986" s="47">
        <f t="shared" si="390"/>
        <v>0</v>
      </c>
      <c r="I986" s="47">
        <f t="shared" si="390"/>
        <v>0</v>
      </c>
      <c r="J986" s="47">
        <f t="shared" si="389"/>
        <v>0</v>
      </c>
      <c r="K986" s="261">
        <f t="shared" si="386"/>
        <v>153.92019999999999</v>
      </c>
      <c r="L986" s="94"/>
      <c r="M986" s="50"/>
      <c r="N986" s="95"/>
      <c r="O986" s="196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6"/>
    </row>
    <row r="987" spans="1:57" s="48" customFormat="1" ht="14.25" customHeight="1" x14ac:dyDescent="0.2">
      <c r="A987" s="732"/>
      <c r="B987" s="650"/>
      <c r="C987" s="193"/>
      <c r="D987" s="46">
        <v>2023</v>
      </c>
      <c r="E987" s="47">
        <f t="shared" si="391"/>
        <v>164.82309999999998</v>
      </c>
      <c r="F987" s="47">
        <f t="shared" si="391"/>
        <v>155.3449</v>
      </c>
      <c r="G987" s="47">
        <f t="shared" si="390"/>
        <v>0</v>
      </c>
      <c r="H987" s="47">
        <f t="shared" si="390"/>
        <v>0</v>
      </c>
      <c r="I987" s="47">
        <f t="shared" si="390"/>
        <v>0</v>
      </c>
      <c r="J987" s="47">
        <f t="shared" si="389"/>
        <v>9.4782000000000011</v>
      </c>
      <c r="K987" s="261">
        <f t="shared" si="386"/>
        <v>164.82310000000001</v>
      </c>
      <c r="L987" s="94"/>
      <c r="M987" s="50"/>
      <c r="N987" s="95"/>
      <c r="O987" s="196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/>
      <c r="BB987" s="65"/>
      <c r="BC987" s="65"/>
      <c r="BD987" s="65"/>
      <c r="BE987" s="66"/>
    </row>
    <row r="988" spans="1:57" s="48" customFormat="1" ht="14.25" customHeight="1" x14ac:dyDescent="0.2">
      <c r="A988" s="732"/>
      <c r="B988" s="650"/>
      <c r="C988" s="193"/>
      <c r="D988" s="46">
        <v>2024</v>
      </c>
      <c r="E988" s="47">
        <f t="shared" si="391"/>
        <v>164.82309999999998</v>
      </c>
      <c r="F988" s="47">
        <f t="shared" si="391"/>
        <v>155.3449</v>
      </c>
      <c r="G988" s="47">
        <f t="shared" si="390"/>
        <v>0</v>
      </c>
      <c r="H988" s="47">
        <f t="shared" si="390"/>
        <v>0</v>
      </c>
      <c r="I988" s="47">
        <f t="shared" si="390"/>
        <v>0</v>
      </c>
      <c r="J988" s="47">
        <f t="shared" si="389"/>
        <v>9.4782000000000011</v>
      </c>
      <c r="K988" s="261">
        <f t="shared" si="386"/>
        <v>164.82310000000001</v>
      </c>
      <c r="L988" s="94"/>
      <c r="M988" s="50"/>
      <c r="N988" s="95"/>
      <c r="O988" s="196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/>
      <c r="BB988" s="65"/>
      <c r="BC988" s="65"/>
      <c r="BD988" s="65"/>
      <c r="BE988" s="66"/>
    </row>
    <row r="989" spans="1:57" s="48" customFormat="1" ht="14.25" customHeight="1" x14ac:dyDescent="0.2">
      <c r="A989" s="732"/>
      <c r="B989" s="650"/>
      <c r="C989" s="193"/>
      <c r="D989" s="46">
        <v>2025</v>
      </c>
      <c r="E989" s="47">
        <f t="shared" si="391"/>
        <v>164.82309999999998</v>
      </c>
      <c r="F989" s="47">
        <f t="shared" si="391"/>
        <v>155.3449</v>
      </c>
      <c r="G989" s="47">
        <f t="shared" si="390"/>
        <v>0</v>
      </c>
      <c r="H989" s="47">
        <f t="shared" si="390"/>
        <v>0</v>
      </c>
      <c r="I989" s="47">
        <f t="shared" si="390"/>
        <v>0</v>
      </c>
      <c r="J989" s="47">
        <f t="shared" si="389"/>
        <v>9.4782000000000011</v>
      </c>
      <c r="K989" s="261">
        <f t="shared" si="386"/>
        <v>164.82310000000001</v>
      </c>
      <c r="L989" s="94"/>
      <c r="M989" s="50"/>
      <c r="N989" s="95"/>
      <c r="O989" s="196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/>
      <c r="BB989" s="65"/>
      <c r="BC989" s="65"/>
      <c r="BD989" s="65"/>
      <c r="BE989" s="66"/>
    </row>
    <row r="990" spans="1:57" s="48" customFormat="1" ht="14.25" customHeight="1" x14ac:dyDescent="0.2">
      <c r="A990" s="732"/>
      <c r="B990" s="650"/>
      <c r="C990" s="193"/>
      <c r="D990" s="46">
        <v>2026</v>
      </c>
      <c r="E990" s="47">
        <f t="shared" si="391"/>
        <v>164.82309999999998</v>
      </c>
      <c r="F990" s="47">
        <f t="shared" si="391"/>
        <v>155.3449</v>
      </c>
      <c r="G990" s="47">
        <f t="shared" si="390"/>
        <v>0</v>
      </c>
      <c r="H990" s="47">
        <f t="shared" si="390"/>
        <v>0</v>
      </c>
      <c r="I990" s="47">
        <f t="shared" si="390"/>
        <v>0</v>
      </c>
      <c r="J990" s="47">
        <f t="shared" si="389"/>
        <v>9.4782000000000011</v>
      </c>
      <c r="K990" s="261">
        <f t="shared" si="386"/>
        <v>164.82310000000001</v>
      </c>
      <c r="L990" s="94"/>
      <c r="M990" s="50"/>
      <c r="N990" s="95"/>
      <c r="O990" s="196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/>
      <c r="BB990" s="65"/>
      <c r="BC990" s="65"/>
      <c r="BD990" s="65"/>
      <c r="BE990" s="66"/>
    </row>
    <row r="991" spans="1:57" s="48" customFormat="1" ht="14.25" customHeight="1" x14ac:dyDescent="0.2">
      <c r="A991" s="732"/>
      <c r="B991" s="650"/>
      <c r="C991" s="193"/>
      <c r="D991" s="46">
        <v>2027</v>
      </c>
      <c r="E991" s="47">
        <f t="shared" si="391"/>
        <v>164.82309999999998</v>
      </c>
      <c r="F991" s="47">
        <f t="shared" si="391"/>
        <v>155.3449</v>
      </c>
      <c r="G991" s="47">
        <f t="shared" si="390"/>
        <v>0</v>
      </c>
      <c r="H991" s="47">
        <f t="shared" si="390"/>
        <v>0</v>
      </c>
      <c r="I991" s="47">
        <f t="shared" si="390"/>
        <v>0</v>
      </c>
      <c r="J991" s="47">
        <f t="shared" si="389"/>
        <v>9.4782000000000011</v>
      </c>
      <c r="K991" s="261">
        <f t="shared" si="386"/>
        <v>164.82310000000001</v>
      </c>
      <c r="L991" s="94"/>
      <c r="M991" s="50"/>
      <c r="N991" s="95"/>
      <c r="O991" s="196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/>
      <c r="BB991" s="65"/>
      <c r="BC991" s="65"/>
      <c r="BD991" s="65"/>
      <c r="BE991" s="66"/>
    </row>
    <row r="992" spans="1:57" s="48" customFormat="1" ht="14.25" customHeight="1" x14ac:dyDescent="0.2">
      <c r="A992" s="732"/>
      <c r="B992" s="650"/>
      <c r="C992" s="193"/>
      <c r="D992" s="46">
        <v>2028</v>
      </c>
      <c r="E992" s="47">
        <f t="shared" si="391"/>
        <v>164.82309999999998</v>
      </c>
      <c r="F992" s="47">
        <f t="shared" si="391"/>
        <v>155.3449</v>
      </c>
      <c r="G992" s="47">
        <f t="shared" si="390"/>
        <v>0</v>
      </c>
      <c r="H992" s="47">
        <f t="shared" si="390"/>
        <v>0</v>
      </c>
      <c r="I992" s="47">
        <f t="shared" si="390"/>
        <v>0</v>
      </c>
      <c r="J992" s="47">
        <f t="shared" si="389"/>
        <v>9.4782000000000011</v>
      </c>
      <c r="K992" s="261">
        <f t="shared" si="386"/>
        <v>164.82310000000001</v>
      </c>
      <c r="L992" s="94"/>
      <c r="M992" s="50"/>
      <c r="N992" s="95"/>
      <c r="O992" s="196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/>
      <c r="BB992" s="65"/>
      <c r="BC992" s="65"/>
      <c r="BD992" s="65"/>
      <c r="BE992" s="66"/>
    </row>
    <row r="993" spans="1:57" s="48" customFormat="1" ht="14.25" customHeight="1" x14ac:dyDescent="0.2">
      <c r="A993" s="732"/>
      <c r="B993" s="650"/>
      <c r="C993" s="193"/>
      <c r="D993" s="46">
        <v>2029</v>
      </c>
      <c r="E993" s="47">
        <f t="shared" si="391"/>
        <v>164.82309999999998</v>
      </c>
      <c r="F993" s="47">
        <f t="shared" si="391"/>
        <v>155.3449</v>
      </c>
      <c r="G993" s="47">
        <f t="shared" si="390"/>
        <v>0</v>
      </c>
      <c r="H993" s="47">
        <f t="shared" si="390"/>
        <v>0</v>
      </c>
      <c r="I993" s="47">
        <f t="shared" si="390"/>
        <v>0</v>
      </c>
      <c r="J993" s="47">
        <f t="shared" si="389"/>
        <v>9.4782000000000011</v>
      </c>
      <c r="K993" s="261">
        <f t="shared" si="386"/>
        <v>164.82310000000001</v>
      </c>
      <c r="L993" s="94"/>
      <c r="M993" s="50"/>
      <c r="N993" s="95"/>
      <c r="O993" s="196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6"/>
    </row>
    <row r="994" spans="1:57" s="48" customFormat="1" ht="14.25" customHeight="1" x14ac:dyDescent="0.2">
      <c r="A994" s="733"/>
      <c r="B994" s="651"/>
      <c r="C994" s="193"/>
      <c r="D994" s="46">
        <v>2030</v>
      </c>
      <c r="E994" s="47">
        <f t="shared" si="391"/>
        <v>164.82309999999998</v>
      </c>
      <c r="F994" s="47">
        <f t="shared" si="391"/>
        <v>155.3449</v>
      </c>
      <c r="G994" s="47">
        <f t="shared" si="390"/>
        <v>0</v>
      </c>
      <c r="H994" s="47">
        <f t="shared" si="390"/>
        <v>0</v>
      </c>
      <c r="I994" s="47">
        <f t="shared" si="390"/>
        <v>0</v>
      </c>
      <c r="J994" s="47">
        <f t="shared" si="389"/>
        <v>9.4782000000000011</v>
      </c>
      <c r="K994" s="261">
        <f t="shared" si="386"/>
        <v>164.82310000000001</v>
      </c>
      <c r="L994" s="94"/>
      <c r="M994" s="50"/>
      <c r="N994" s="95"/>
      <c r="O994" s="196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  <c r="AP994" s="65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/>
      <c r="BB994" s="65"/>
      <c r="BC994" s="65"/>
      <c r="BD994" s="65"/>
      <c r="BE994" s="66"/>
    </row>
    <row r="995" spans="1:57" s="48" customFormat="1" ht="21.75" customHeight="1" x14ac:dyDescent="0.2">
      <c r="A995" s="662" t="s">
        <v>705</v>
      </c>
      <c r="B995" s="736" t="s">
        <v>743</v>
      </c>
      <c r="C995" s="256"/>
      <c r="D995" s="46" t="s">
        <v>198</v>
      </c>
      <c r="E995" s="47">
        <f>E996+E997+E998+E999+E1000+E1001+E1002+E1003+E1004+E1005+E1006+E1007</f>
        <v>318.70899999999995</v>
      </c>
      <c r="F995" s="47">
        <f>F996+F997+F998+F999+F1000+F1001+F1002+F1003+F1004+F1005+F1006+F1007</f>
        <v>226.90680000000003</v>
      </c>
      <c r="G995" s="47">
        <f t="shared" ref="G995:I995" si="392">G996+G997+G998+G999+G1000+G1001+G1002+G1003+G1004+G1005+G1006+G1007</f>
        <v>0</v>
      </c>
      <c r="H995" s="47">
        <f t="shared" si="392"/>
        <v>0</v>
      </c>
      <c r="I995" s="47">
        <f t="shared" si="392"/>
        <v>0</v>
      </c>
      <c r="J995" s="47">
        <f>J996+J997+J998+J999+J1000+J1001+J1002+J1003+J1004+J1005+J1006+J1007</f>
        <v>91.802199999999985</v>
      </c>
      <c r="K995" s="261">
        <f t="shared" si="386"/>
        <v>318.709</v>
      </c>
      <c r="L995" s="94"/>
      <c r="M995" s="50"/>
      <c r="N995" s="95"/>
      <c r="O995" s="746" t="s">
        <v>747</v>
      </c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  <c r="AP995" s="65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/>
      <c r="BB995" s="65"/>
      <c r="BC995" s="65"/>
      <c r="BD995" s="65"/>
      <c r="BE995" s="66"/>
    </row>
    <row r="996" spans="1:57" s="418" customFormat="1" x14ac:dyDescent="0.2">
      <c r="A996" s="717"/>
      <c r="B996" s="737"/>
      <c r="C996" s="749" t="s">
        <v>744</v>
      </c>
      <c r="D996" s="412">
        <v>2019</v>
      </c>
      <c r="E996" s="413">
        <f>F996+G996+H996+I996+J996</f>
        <v>36.131900000000002</v>
      </c>
      <c r="F996" s="413">
        <v>26.653700000000001</v>
      </c>
      <c r="G996" s="413">
        <v>0</v>
      </c>
      <c r="H996" s="413">
        <v>0</v>
      </c>
      <c r="I996" s="413">
        <v>0</v>
      </c>
      <c r="J996" s="413">
        <v>9.4781999999999993</v>
      </c>
      <c r="K996" s="414">
        <f t="shared" si="386"/>
        <v>36.131900000000002</v>
      </c>
      <c r="L996" s="432"/>
      <c r="M996" s="415"/>
      <c r="N996" s="433"/>
      <c r="O996" s="747"/>
      <c r="P996" s="416"/>
      <c r="Q996" s="416"/>
      <c r="R996" s="416"/>
      <c r="S996" s="416"/>
      <c r="T996" s="416"/>
      <c r="U996" s="416"/>
      <c r="V996" s="416"/>
      <c r="W996" s="416"/>
      <c r="X996" s="416"/>
      <c r="Y996" s="416"/>
      <c r="Z996" s="416"/>
      <c r="AA996" s="416"/>
      <c r="AB996" s="416"/>
      <c r="AC996" s="416"/>
      <c r="AD996" s="416"/>
      <c r="AE996" s="416"/>
      <c r="AF996" s="416"/>
      <c r="AG996" s="416"/>
      <c r="AH996" s="416"/>
      <c r="AI996" s="416"/>
      <c r="AJ996" s="416"/>
      <c r="AK996" s="416"/>
      <c r="AL996" s="416"/>
      <c r="AM996" s="416"/>
      <c r="AN996" s="416"/>
      <c r="AO996" s="416"/>
      <c r="AP996" s="416"/>
      <c r="AQ996" s="416"/>
      <c r="AR996" s="416"/>
      <c r="AS996" s="416"/>
      <c r="AT996" s="416"/>
      <c r="AU996" s="416"/>
      <c r="AV996" s="416"/>
      <c r="AW996" s="416"/>
      <c r="AX996" s="416"/>
      <c r="AY996" s="416"/>
      <c r="AZ996" s="416"/>
      <c r="BA996" s="416"/>
      <c r="BB996" s="416"/>
      <c r="BC996" s="416"/>
      <c r="BD996" s="416"/>
      <c r="BE996" s="417"/>
    </row>
    <row r="997" spans="1:57" s="131" customFormat="1" ht="14.25" customHeight="1" x14ac:dyDescent="0.2">
      <c r="A997" s="717"/>
      <c r="B997" s="737"/>
      <c r="C997" s="749"/>
      <c r="D997" s="132">
        <v>2020</v>
      </c>
      <c r="E997" s="133">
        <f t="shared" ref="E997:E1007" si="393">F997+G997+H997+I997+J997</f>
        <v>28.799999999999997</v>
      </c>
      <c r="F997" s="133">
        <v>20.567599999999999</v>
      </c>
      <c r="G997" s="133">
        <v>0</v>
      </c>
      <c r="H997" s="133">
        <v>0</v>
      </c>
      <c r="I997" s="133">
        <v>0</v>
      </c>
      <c r="J997" s="133">
        <v>8.2324000000000002</v>
      </c>
      <c r="K997" s="136">
        <f t="shared" si="386"/>
        <v>28.799999999999997</v>
      </c>
      <c r="L997" s="426"/>
      <c r="M997" s="127"/>
      <c r="N997" s="427"/>
      <c r="O997" s="747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  <c r="AA997" s="129"/>
      <c r="AB997" s="129"/>
      <c r="AC997" s="129"/>
      <c r="AD997" s="129"/>
      <c r="AE997" s="129"/>
      <c r="AF997" s="129"/>
      <c r="AG997" s="129"/>
      <c r="AH997" s="129"/>
      <c r="AI997" s="129"/>
      <c r="AJ997" s="129"/>
      <c r="AK997" s="129"/>
      <c r="AL997" s="129"/>
      <c r="AM997" s="129"/>
      <c r="AN997" s="129"/>
      <c r="AO997" s="129"/>
      <c r="AP997" s="129"/>
      <c r="AQ997" s="129"/>
      <c r="AR997" s="129"/>
      <c r="AS997" s="129"/>
      <c r="AT997" s="129"/>
      <c r="AU997" s="129"/>
      <c r="AV997" s="129"/>
      <c r="AW997" s="129"/>
      <c r="AX997" s="129"/>
      <c r="AY997" s="129"/>
      <c r="AZ997" s="129"/>
      <c r="BA997" s="129"/>
      <c r="BB997" s="129"/>
      <c r="BC997" s="129"/>
      <c r="BD997" s="129"/>
      <c r="BE997" s="130"/>
    </row>
    <row r="998" spans="1:57" s="131" customFormat="1" ht="14.25" customHeight="1" x14ac:dyDescent="0.2">
      <c r="A998" s="717"/>
      <c r="B998" s="737"/>
      <c r="C998" s="749"/>
      <c r="D998" s="132">
        <v>2021</v>
      </c>
      <c r="E998" s="133">
        <f t="shared" si="393"/>
        <v>26.107799999999997</v>
      </c>
      <c r="F998" s="133">
        <v>17.875399999999999</v>
      </c>
      <c r="G998" s="133">
        <v>0</v>
      </c>
      <c r="H998" s="133">
        <v>0</v>
      </c>
      <c r="I998" s="133">
        <v>0</v>
      </c>
      <c r="J998" s="133">
        <v>8.2324000000000002</v>
      </c>
      <c r="K998" s="136">
        <f t="shared" si="386"/>
        <v>26.107799999999997</v>
      </c>
      <c r="L998" s="426"/>
      <c r="M998" s="127"/>
      <c r="N998" s="427"/>
      <c r="O998" s="747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  <c r="AA998" s="129"/>
      <c r="AB998" s="129"/>
      <c r="AC998" s="129"/>
      <c r="AD998" s="129"/>
      <c r="AE998" s="129"/>
      <c r="AF998" s="129"/>
      <c r="AG998" s="129"/>
      <c r="AH998" s="129"/>
      <c r="AI998" s="129"/>
      <c r="AJ998" s="129"/>
      <c r="AK998" s="129"/>
      <c r="AL998" s="129"/>
      <c r="AM998" s="129"/>
      <c r="AN998" s="129"/>
      <c r="AO998" s="129"/>
      <c r="AP998" s="129"/>
      <c r="AQ998" s="129"/>
      <c r="AR998" s="129"/>
      <c r="AS998" s="129"/>
      <c r="AT998" s="129"/>
      <c r="AU998" s="129"/>
      <c r="AV998" s="129"/>
      <c r="AW998" s="129"/>
      <c r="AX998" s="129"/>
      <c r="AY998" s="129"/>
      <c r="AZ998" s="129"/>
      <c r="BA998" s="129"/>
      <c r="BB998" s="129"/>
      <c r="BC998" s="129"/>
      <c r="BD998" s="129"/>
      <c r="BE998" s="130"/>
    </row>
    <row r="999" spans="1:57" s="131" customFormat="1" ht="14.25" customHeight="1" x14ac:dyDescent="0.2">
      <c r="A999" s="717"/>
      <c r="B999" s="737"/>
      <c r="C999" s="749"/>
      <c r="D999" s="132">
        <v>2022</v>
      </c>
      <c r="E999" s="133">
        <f t="shared" si="393"/>
        <v>17.978899999999999</v>
      </c>
      <c r="F999" s="133">
        <v>17.978899999999999</v>
      </c>
      <c r="G999" s="133">
        <v>0</v>
      </c>
      <c r="H999" s="133">
        <v>0</v>
      </c>
      <c r="I999" s="133">
        <v>0</v>
      </c>
      <c r="J999" s="133">
        <v>0</v>
      </c>
      <c r="K999" s="136">
        <f t="shared" si="386"/>
        <v>17.978899999999999</v>
      </c>
      <c r="L999" s="426"/>
      <c r="M999" s="127"/>
      <c r="N999" s="427"/>
      <c r="O999" s="747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  <c r="AA999" s="129"/>
      <c r="AB999" s="129"/>
      <c r="AC999" s="129"/>
      <c r="AD999" s="129"/>
      <c r="AE999" s="129"/>
      <c r="AF999" s="129"/>
      <c r="AG999" s="129"/>
      <c r="AH999" s="129"/>
      <c r="AI999" s="129"/>
      <c r="AJ999" s="129"/>
      <c r="AK999" s="129"/>
      <c r="AL999" s="129"/>
      <c r="AM999" s="129"/>
      <c r="AN999" s="129"/>
      <c r="AO999" s="129"/>
      <c r="AP999" s="129"/>
      <c r="AQ999" s="129"/>
      <c r="AR999" s="129"/>
      <c r="AS999" s="129"/>
      <c r="AT999" s="129"/>
      <c r="AU999" s="129"/>
      <c r="AV999" s="129"/>
      <c r="AW999" s="129"/>
      <c r="AX999" s="129"/>
      <c r="AY999" s="129"/>
      <c r="AZ999" s="129"/>
      <c r="BA999" s="129"/>
      <c r="BB999" s="129"/>
      <c r="BC999" s="129"/>
      <c r="BD999" s="129"/>
      <c r="BE999" s="130"/>
    </row>
    <row r="1000" spans="1:57" s="48" customFormat="1" ht="14.25" customHeight="1" x14ac:dyDescent="0.2">
      <c r="A1000" s="717"/>
      <c r="B1000" s="737"/>
      <c r="C1000" s="749"/>
      <c r="D1000" s="189">
        <v>2023</v>
      </c>
      <c r="E1000" s="188">
        <f t="shared" si="393"/>
        <v>26.211300000000001</v>
      </c>
      <c r="F1000" s="188">
        <v>17.978899999999999</v>
      </c>
      <c r="G1000" s="188">
        <v>0</v>
      </c>
      <c r="H1000" s="188">
        <v>0</v>
      </c>
      <c r="I1000" s="188">
        <v>0</v>
      </c>
      <c r="J1000" s="188">
        <v>8.2324000000000002</v>
      </c>
      <c r="K1000" s="261">
        <f t="shared" si="386"/>
        <v>26.211300000000001</v>
      </c>
      <c r="L1000" s="94"/>
      <c r="M1000" s="50"/>
      <c r="N1000" s="95"/>
      <c r="O1000" s="747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65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/>
      <c r="BB1000" s="65"/>
      <c r="BC1000" s="65"/>
      <c r="BD1000" s="65"/>
      <c r="BE1000" s="66"/>
    </row>
    <row r="1001" spans="1:57" s="48" customFormat="1" ht="14.25" customHeight="1" x14ac:dyDescent="0.2">
      <c r="A1001" s="717"/>
      <c r="B1001" s="737"/>
      <c r="C1001" s="749"/>
      <c r="D1001" s="189">
        <v>2024</v>
      </c>
      <c r="E1001" s="188">
        <f t="shared" si="393"/>
        <v>26.211300000000001</v>
      </c>
      <c r="F1001" s="188">
        <v>17.978899999999999</v>
      </c>
      <c r="G1001" s="188">
        <v>0</v>
      </c>
      <c r="H1001" s="188">
        <v>0</v>
      </c>
      <c r="I1001" s="188">
        <v>0</v>
      </c>
      <c r="J1001" s="188">
        <v>8.2324000000000002</v>
      </c>
      <c r="K1001" s="261">
        <f t="shared" si="386"/>
        <v>26.211300000000001</v>
      </c>
      <c r="L1001" s="94"/>
      <c r="M1001" s="50"/>
      <c r="N1001" s="95"/>
      <c r="O1001" s="747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  <c r="AH1001" s="65"/>
      <c r="AI1001" s="65"/>
      <c r="AJ1001" s="65"/>
      <c r="AK1001" s="65"/>
      <c r="AL1001" s="65"/>
      <c r="AM1001" s="65"/>
      <c r="AN1001" s="65"/>
      <c r="AO1001" s="65"/>
      <c r="AP1001" s="65"/>
      <c r="AQ1001" s="65"/>
      <c r="AR1001" s="65"/>
      <c r="AS1001" s="65"/>
      <c r="AT1001" s="65"/>
      <c r="AU1001" s="65"/>
      <c r="AV1001" s="65"/>
      <c r="AW1001" s="65"/>
      <c r="AX1001" s="65"/>
      <c r="AY1001" s="65"/>
      <c r="AZ1001" s="65"/>
      <c r="BA1001" s="65"/>
      <c r="BB1001" s="65"/>
      <c r="BC1001" s="65"/>
      <c r="BD1001" s="65"/>
      <c r="BE1001" s="66"/>
    </row>
    <row r="1002" spans="1:57" s="48" customFormat="1" ht="14.25" customHeight="1" x14ac:dyDescent="0.2">
      <c r="A1002" s="717"/>
      <c r="B1002" s="737"/>
      <c r="C1002" s="749"/>
      <c r="D1002" s="189">
        <v>2025</v>
      </c>
      <c r="E1002" s="188">
        <f t="shared" si="393"/>
        <v>26.211300000000001</v>
      </c>
      <c r="F1002" s="188">
        <v>17.978899999999999</v>
      </c>
      <c r="G1002" s="188">
        <v>0</v>
      </c>
      <c r="H1002" s="188">
        <v>0</v>
      </c>
      <c r="I1002" s="188">
        <v>0</v>
      </c>
      <c r="J1002" s="188">
        <v>8.2324000000000002</v>
      </c>
      <c r="K1002" s="261">
        <f t="shared" si="386"/>
        <v>26.211300000000001</v>
      </c>
      <c r="L1002" s="94"/>
      <c r="M1002" s="50"/>
      <c r="N1002" s="95"/>
      <c r="O1002" s="747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65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5"/>
      <c r="BA1002" s="65"/>
      <c r="BB1002" s="65"/>
      <c r="BC1002" s="65"/>
      <c r="BD1002" s="65"/>
      <c r="BE1002" s="66"/>
    </row>
    <row r="1003" spans="1:57" s="48" customFormat="1" ht="14.25" customHeight="1" x14ac:dyDescent="0.2">
      <c r="A1003" s="717"/>
      <c r="B1003" s="737"/>
      <c r="C1003" s="749" t="s">
        <v>745</v>
      </c>
      <c r="D1003" s="189">
        <v>2026</v>
      </c>
      <c r="E1003" s="188">
        <f t="shared" si="393"/>
        <v>26.211300000000001</v>
      </c>
      <c r="F1003" s="188">
        <v>17.978899999999999</v>
      </c>
      <c r="G1003" s="188">
        <v>0</v>
      </c>
      <c r="H1003" s="188">
        <v>0</v>
      </c>
      <c r="I1003" s="188">
        <v>0</v>
      </c>
      <c r="J1003" s="188">
        <v>8.2324000000000002</v>
      </c>
      <c r="K1003" s="261">
        <f t="shared" si="386"/>
        <v>26.211300000000001</v>
      </c>
      <c r="L1003" s="94"/>
      <c r="M1003" s="50"/>
      <c r="N1003" s="95"/>
      <c r="O1003" s="747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5"/>
      <c r="BA1003" s="65"/>
      <c r="BB1003" s="65"/>
      <c r="BC1003" s="65"/>
      <c r="BD1003" s="65"/>
      <c r="BE1003" s="66"/>
    </row>
    <row r="1004" spans="1:57" s="48" customFormat="1" ht="14.25" customHeight="1" x14ac:dyDescent="0.2">
      <c r="A1004" s="717"/>
      <c r="B1004" s="737"/>
      <c r="C1004" s="749"/>
      <c r="D1004" s="189">
        <v>2027</v>
      </c>
      <c r="E1004" s="188">
        <f t="shared" si="393"/>
        <v>26.211300000000001</v>
      </c>
      <c r="F1004" s="188">
        <v>17.978899999999999</v>
      </c>
      <c r="G1004" s="188">
        <v>0</v>
      </c>
      <c r="H1004" s="188">
        <v>0</v>
      </c>
      <c r="I1004" s="188">
        <v>0</v>
      </c>
      <c r="J1004" s="188">
        <v>8.2324000000000002</v>
      </c>
      <c r="K1004" s="261">
        <f t="shared" si="386"/>
        <v>26.211300000000001</v>
      </c>
      <c r="L1004" s="94"/>
      <c r="M1004" s="50"/>
      <c r="N1004" s="95"/>
      <c r="O1004" s="747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65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5"/>
      <c r="BA1004" s="65"/>
      <c r="BB1004" s="65"/>
      <c r="BC1004" s="65"/>
      <c r="BD1004" s="65"/>
      <c r="BE1004" s="66"/>
    </row>
    <row r="1005" spans="1:57" s="48" customFormat="1" ht="14.25" customHeight="1" x14ac:dyDescent="0.2">
      <c r="A1005" s="717"/>
      <c r="B1005" s="737"/>
      <c r="C1005" s="749"/>
      <c r="D1005" s="189">
        <v>2028</v>
      </c>
      <c r="E1005" s="188">
        <f t="shared" si="393"/>
        <v>26.211300000000001</v>
      </c>
      <c r="F1005" s="188">
        <v>17.978899999999999</v>
      </c>
      <c r="G1005" s="188">
        <v>0</v>
      </c>
      <c r="H1005" s="188">
        <v>0</v>
      </c>
      <c r="I1005" s="188">
        <v>0</v>
      </c>
      <c r="J1005" s="188">
        <v>8.2324000000000002</v>
      </c>
      <c r="K1005" s="261">
        <f t="shared" si="386"/>
        <v>26.211300000000001</v>
      </c>
      <c r="L1005" s="94"/>
      <c r="M1005" s="50"/>
      <c r="N1005" s="95"/>
      <c r="O1005" s="747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65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5"/>
      <c r="BA1005" s="65"/>
      <c r="BB1005" s="65"/>
      <c r="BC1005" s="65"/>
      <c r="BD1005" s="65"/>
      <c r="BE1005" s="66"/>
    </row>
    <row r="1006" spans="1:57" s="48" customFormat="1" ht="14.25" customHeight="1" x14ac:dyDescent="0.2">
      <c r="A1006" s="717"/>
      <c r="B1006" s="737"/>
      <c r="C1006" s="749"/>
      <c r="D1006" s="189">
        <v>2029</v>
      </c>
      <c r="E1006" s="188">
        <f t="shared" si="393"/>
        <v>26.211300000000001</v>
      </c>
      <c r="F1006" s="188">
        <v>17.978899999999999</v>
      </c>
      <c r="G1006" s="188">
        <v>0</v>
      </c>
      <c r="H1006" s="188">
        <v>0</v>
      </c>
      <c r="I1006" s="188">
        <v>0</v>
      </c>
      <c r="J1006" s="188">
        <v>8.2324000000000002</v>
      </c>
      <c r="K1006" s="261">
        <f t="shared" si="386"/>
        <v>26.211300000000001</v>
      </c>
      <c r="L1006" s="94"/>
      <c r="M1006" s="50"/>
      <c r="N1006" s="95"/>
      <c r="O1006" s="747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65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5"/>
      <c r="BA1006" s="65"/>
      <c r="BB1006" s="65"/>
      <c r="BC1006" s="65"/>
      <c r="BD1006" s="65"/>
      <c r="BE1006" s="66"/>
    </row>
    <row r="1007" spans="1:57" s="48" customFormat="1" ht="14.25" customHeight="1" x14ac:dyDescent="0.2">
      <c r="A1007" s="734"/>
      <c r="B1007" s="738"/>
      <c r="C1007" s="749"/>
      <c r="D1007" s="189">
        <v>2030</v>
      </c>
      <c r="E1007" s="188">
        <f t="shared" si="393"/>
        <v>26.211300000000001</v>
      </c>
      <c r="F1007" s="188">
        <v>17.978899999999999</v>
      </c>
      <c r="G1007" s="188">
        <v>0</v>
      </c>
      <c r="H1007" s="188">
        <v>0</v>
      </c>
      <c r="I1007" s="188">
        <v>0</v>
      </c>
      <c r="J1007" s="188">
        <v>8.2324000000000002</v>
      </c>
      <c r="K1007" s="261">
        <f t="shared" si="386"/>
        <v>26.211300000000001</v>
      </c>
      <c r="L1007" s="94"/>
      <c r="M1007" s="50"/>
      <c r="N1007" s="95"/>
      <c r="O1007" s="748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65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5"/>
      <c r="BA1007" s="65"/>
      <c r="BB1007" s="65"/>
      <c r="BC1007" s="65"/>
      <c r="BD1007" s="65"/>
      <c r="BE1007" s="66"/>
    </row>
    <row r="1008" spans="1:57" s="48" customFormat="1" ht="14.25" customHeight="1" x14ac:dyDescent="0.2">
      <c r="A1008" s="662" t="s">
        <v>938</v>
      </c>
      <c r="B1008" s="736" t="s">
        <v>937</v>
      </c>
      <c r="C1008" s="256"/>
      <c r="D1008" s="46" t="s">
        <v>198</v>
      </c>
      <c r="E1008" s="188">
        <f>E1009+E1010+E1011+E1012+E1013+E1014+E1015+E1016+E1017+E1018+E1019</f>
        <v>31.361200000000004</v>
      </c>
      <c r="F1008" s="188">
        <f>F1009+F1010+F1011+F1012+F1013+F1014+F1015+F1016+F1017+F1018+F1019</f>
        <v>18.903199999999998</v>
      </c>
      <c r="G1008" s="188">
        <f t="shared" ref="G1008:I1008" si="394">G1009+G1010+G1011+G1012+G1013+G1014+G1015+G1016+G1017+G1018+G1019</f>
        <v>0</v>
      </c>
      <c r="H1008" s="188">
        <f t="shared" si="394"/>
        <v>0</v>
      </c>
      <c r="I1008" s="188">
        <f t="shared" si="394"/>
        <v>0</v>
      </c>
      <c r="J1008" s="188">
        <f>J1009+J1010+J1011+J1012+J1013+J1014+J1015+J1016+J1017+J1018+J1019</f>
        <v>12.457999999999998</v>
      </c>
      <c r="K1008" s="261">
        <f t="shared" si="386"/>
        <v>31.361199999999997</v>
      </c>
      <c r="L1008" s="94"/>
      <c r="M1008" s="50"/>
      <c r="N1008" s="95"/>
      <c r="O1008" s="149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65"/>
      <c r="AQ1008" s="65"/>
      <c r="AR1008" s="65"/>
      <c r="AS1008" s="65"/>
      <c r="AT1008" s="65"/>
      <c r="AU1008" s="65"/>
      <c r="AV1008" s="65"/>
      <c r="AW1008" s="65"/>
      <c r="AX1008" s="65"/>
      <c r="AY1008" s="65"/>
      <c r="AZ1008" s="65"/>
      <c r="BA1008" s="65"/>
      <c r="BB1008" s="65"/>
      <c r="BC1008" s="65"/>
      <c r="BD1008" s="65"/>
      <c r="BE1008" s="66"/>
    </row>
    <row r="1009" spans="1:57" s="131" customFormat="1" ht="14.25" customHeight="1" x14ac:dyDescent="0.2">
      <c r="A1009" s="717"/>
      <c r="B1009" s="737"/>
      <c r="C1009" s="739" t="s">
        <v>744</v>
      </c>
      <c r="D1009" s="132">
        <v>2020</v>
      </c>
      <c r="E1009" s="133">
        <f t="shared" ref="E1009:E1019" si="395">F1009+G1009+H1009+I1009+J1009</f>
        <v>3.2515000000000001</v>
      </c>
      <c r="F1009" s="133">
        <v>2.0057</v>
      </c>
      <c r="G1009" s="133">
        <v>0</v>
      </c>
      <c r="H1009" s="133">
        <v>0</v>
      </c>
      <c r="I1009" s="133">
        <v>0</v>
      </c>
      <c r="J1009" s="133">
        <v>1.2458</v>
      </c>
      <c r="K1009" s="136">
        <f t="shared" si="386"/>
        <v>3.2515000000000001</v>
      </c>
      <c r="L1009" s="426"/>
      <c r="M1009" s="127"/>
      <c r="N1009" s="427"/>
      <c r="O1009" s="428"/>
      <c r="P1009" s="129"/>
      <c r="Q1009" s="129"/>
      <c r="R1009" s="129"/>
      <c r="S1009" s="129"/>
      <c r="T1009" s="129"/>
      <c r="U1009" s="129"/>
      <c r="V1009" s="129"/>
      <c r="W1009" s="129"/>
      <c r="X1009" s="129"/>
      <c r="Y1009" s="129"/>
      <c r="Z1009" s="129"/>
      <c r="AA1009" s="129"/>
      <c r="AB1009" s="129"/>
      <c r="AC1009" s="129"/>
      <c r="AD1009" s="129"/>
      <c r="AE1009" s="129"/>
      <c r="AF1009" s="129"/>
      <c r="AG1009" s="129"/>
      <c r="AH1009" s="129"/>
      <c r="AI1009" s="129"/>
      <c r="AJ1009" s="129"/>
      <c r="AK1009" s="129"/>
      <c r="AL1009" s="129"/>
      <c r="AM1009" s="129"/>
      <c r="AN1009" s="129"/>
      <c r="AO1009" s="129"/>
      <c r="AP1009" s="129"/>
      <c r="AQ1009" s="129"/>
      <c r="AR1009" s="129"/>
      <c r="AS1009" s="129"/>
      <c r="AT1009" s="129"/>
      <c r="AU1009" s="129"/>
      <c r="AV1009" s="129"/>
      <c r="AW1009" s="129"/>
      <c r="AX1009" s="129"/>
      <c r="AY1009" s="129"/>
      <c r="AZ1009" s="129"/>
      <c r="BA1009" s="129"/>
      <c r="BB1009" s="129"/>
      <c r="BC1009" s="129"/>
      <c r="BD1009" s="129"/>
      <c r="BE1009" s="130"/>
    </row>
    <row r="1010" spans="1:57" s="131" customFormat="1" ht="14.25" customHeight="1" x14ac:dyDescent="0.2">
      <c r="A1010" s="717"/>
      <c r="B1010" s="737"/>
      <c r="C1010" s="740"/>
      <c r="D1010" s="132">
        <v>2021</v>
      </c>
      <c r="E1010" s="133">
        <f t="shared" si="395"/>
        <v>2.9333</v>
      </c>
      <c r="F1010" s="133">
        <v>1.6875</v>
      </c>
      <c r="G1010" s="133">
        <v>0</v>
      </c>
      <c r="H1010" s="133">
        <v>0</v>
      </c>
      <c r="I1010" s="133">
        <v>0</v>
      </c>
      <c r="J1010" s="133">
        <v>1.2458</v>
      </c>
      <c r="K1010" s="136">
        <f t="shared" si="386"/>
        <v>2.9333</v>
      </c>
      <c r="L1010" s="426"/>
      <c r="M1010" s="127"/>
      <c r="N1010" s="427"/>
      <c r="O1010" s="428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129"/>
      <c r="Z1010" s="129"/>
      <c r="AA1010" s="129"/>
      <c r="AB1010" s="129"/>
      <c r="AC1010" s="129"/>
      <c r="AD1010" s="129"/>
      <c r="AE1010" s="129"/>
      <c r="AF1010" s="129"/>
      <c r="AG1010" s="129"/>
      <c r="AH1010" s="129"/>
      <c r="AI1010" s="129"/>
      <c r="AJ1010" s="129"/>
      <c r="AK1010" s="129"/>
      <c r="AL1010" s="129"/>
      <c r="AM1010" s="129"/>
      <c r="AN1010" s="129"/>
      <c r="AO1010" s="129"/>
      <c r="AP1010" s="129"/>
      <c r="AQ1010" s="129"/>
      <c r="AR1010" s="129"/>
      <c r="AS1010" s="129"/>
      <c r="AT1010" s="129"/>
      <c r="AU1010" s="129"/>
      <c r="AV1010" s="129"/>
      <c r="AW1010" s="129"/>
      <c r="AX1010" s="129"/>
      <c r="AY1010" s="129"/>
      <c r="AZ1010" s="129"/>
      <c r="BA1010" s="129"/>
      <c r="BB1010" s="129"/>
      <c r="BC1010" s="129"/>
      <c r="BD1010" s="129"/>
      <c r="BE1010" s="130"/>
    </row>
    <row r="1011" spans="1:57" s="131" customFormat="1" ht="14.25" customHeight="1" x14ac:dyDescent="0.2">
      <c r="A1011" s="717"/>
      <c r="B1011" s="737"/>
      <c r="C1011" s="740"/>
      <c r="D1011" s="132">
        <v>2022</v>
      </c>
      <c r="E1011" s="133">
        <f t="shared" si="395"/>
        <v>1.69</v>
      </c>
      <c r="F1011" s="133">
        <v>1.69</v>
      </c>
      <c r="G1011" s="133">
        <v>0</v>
      </c>
      <c r="H1011" s="133">
        <v>0</v>
      </c>
      <c r="I1011" s="133">
        <v>0</v>
      </c>
      <c r="J1011" s="133">
        <v>0</v>
      </c>
      <c r="K1011" s="136">
        <f t="shared" si="386"/>
        <v>1.69</v>
      </c>
      <c r="L1011" s="426"/>
      <c r="M1011" s="127"/>
      <c r="N1011" s="427"/>
      <c r="O1011" s="428"/>
      <c r="P1011" s="129"/>
      <c r="Q1011" s="129"/>
      <c r="R1011" s="129"/>
      <c r="S1011" s="129"/>
      <c r="T1011" s="129"/>
      <c r="U1011" s="129"/>
      <c r="V1011" s="129"/>
      <c r="W1011" s="129"/>
      <c r="X1011" s="129"/>
      <c r="Y1011" s="129"/>
      <c r="Z1011" s="129"/>
      <c r="AA1011" s="129"/>
      <c r="AB1011" s="129"/>
      <c r="AC1011" s="129"/>
      <c r="AD1011" s="129"/>
      <c r="AE1011" s="129"/>
      <c r="AF1011" s="129"/>
      <c r="AG1011" s="129"/>
      <c r="AH1011" s="129"/>
      <c r="AI1011" s="129"/>
      <c r="AJ1011" s="129"/>
      <c r="AK1011" s="129"/>
      <c r="AL1011" s="129"/>
      <c r="AM1011" s="129"/>
      <c r="AN1011" s="129"/>
      <c r="AO1011" s="129"/>
      <c r="AP1011" s="129"/>
      <c r="AQ1011" s="129"/>
      <c r="AR1011" s="129"/>
      <c r="AS1011" s="129"/>
      <c r="AT1011" s="129"/>
      <c r="AU1011" s="129"/>
      <c r="AV1011" s="129"/>
      <c r="AW1011" s="129"/>
      <c r="AX1011" s="129"/>
      <c r="AY1011" s="129"/>
      <c r="AZ1011" s="129"/>
      <c r="BA1011" s="129"/>
      <c r="BB1011" s="129"/>
      <c r="BC1011" s="129"/>
      <c r="BD1011" s="129"/>
      <c r="BE1011" s="130"/>
    </row>
    <row r="1012" spans="1:57" s="48" customFormat="1" ht="14.25" customHeight="1" x14ac:dyDescent="0.2">
      <c r="A1012" s="164"/>
      <c r="B1012" s="737"/>
      <c r="C1012" s="740"/>
      <c r="D1012" s="189">
        <v>2023</v>
      </c>
      <c r="E1012" s="188">
        <f t="shared" si="395"/>
        <v>2.9358</v>
      </c>
      <c r="F1012" s="188">
        <v>1.69</v>
      </c>
      <c r="G1012" s="188">
        <v>0</v>
      </c>
      <c r="H1012" s="188">
        <v>0</v>
      </c>
      <c r="I1012" s="188">
        <v>0</v>
      </c>
      <c r="J1012" s="188">
        <v>1.2458</v>
      </c>
      <c r="K1012" s="261">
        <f t="shared" si="386"/>
        <v>2.9358</v>
      </c>
      <c r="L1012" s="94"/>
      <c r="M1012" s="50"/>
      <c r="N1012" s="95"/>
      <c r="O1012" s="149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  <c r="AH1012" s="65"/>
      <c r="AI1012" s="65"/>
      <c r="AJ1012" s="65"/>
      <c r="AK1012" s="65"/>
      <c r="AL1012" s="65"/>
      <c r="AM1012" s="65"/>
      <c r="AN1012" s="65"/>
      <c r="AO1012" s="65"/>
      <c r="AP1012" s="65"/>
      <c r="AQ1012" s="65"/>
      <c r="AR1012" s="65"/>
      <c r="AS1012" s="65"/>
      <c r="AT1012" s="65"/>
      <c r="AU1012" s="65"/>
      <c r="AV1012" s="65"/>
      <c r="AW1012" s="65"/>
      <c r="AX1012" s="65"/>
      <c r="AY1012" s="65"/>
      <c r="AZ1012" s="65"/>
      <c r="BA1012" s="65"/>
      <c r="BB1012" s="65"/>
      <c r="BC1012" s="65"/>
      <c r="BD1012" s="65"/>
      <c r="BE1012" s="66"/>
    </row>
    <row r="1013" spans="1:57" s="48" customFormat="1" ht="14.25" customHeight="1" x14ac:dyDescent="0.2">
      <c r="A1013" s="164"/>
      <c r="B1013" s="737"/>
      <c r="C1013" s="740"/>
      <c r="D1013" s="189">
        <v>2024</v>
      </c>
      <c r="E1013" s="188">
        <f t="shared" si="395"/>
        <v>2.9358</v>
      </c>
      <c r="F1013" s="188">
        <v>1.69</v>
      </c>
      <c r="G1013" s="188">
        <v>0</v>
      </c>
      <c r="H1013" s="188">
        <v>0</v>
      </c>
      <c r="I1013" s="188">
        <v>0</v>
      </c>
      <c r="J1013" s="188">
        <v>1.2458</v>
      </c>
      <c r="K1013" s="261">
        <f t="shared" si="386"/>
        <v>2.9358</v>
      </c>
      <c r="L1013" s="94"/>
      <c r="M1013" s="50"/>
      <c r="N1013" s="95"/>
      <c r="O1013" s="149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  <c r="AH1013" s="65"/>
      <c r="AI1013" s="65"/>
      <c r="AJ1013" s="65"/>
      <c r="AK1013" s="65"/>
      <c r="AL1013" s="65"/>
      <c r="AM1013" s="65"/>
      <c r="AN1013" s="65"/>
      <c r="AO1013" s="65"/>
      <c r="AP1013" s="65"/>
      <c r="AQ1013" s="65"/>
      <c r="AR1013" s="65"/>
      <c r="AS1013" s="65"/>
      <c r="AT1013" s="65"/>
      <c r="AU1013" s="65"/>
      <c r="AV1013" s="65"/>
      <c r="AW1013" s="65"/>
      <c r="AX1013" s="65"/>
      <c r="AY1013" s="65"/>
      <c r="AZ1013" s="65"/>
      <c r="BA1013" s="65"/>
      <c r="BB1013" s="65"/>
      <c r="BC1013" s="65"/>
      <c r="BD1013" s="65"/>
      <c r="BE1013" s="66"/>
    </row>
    <row r="1014" spans="1:57" s="48" customFormat="1" ht="14.25" customHeight="1" x14ac:dyDescent="0.2">
      <c r="A1014" s="164"/>
      <c r="B1014" s="737"/>
      <c r="C1014" s="741"/>
      <c r="D1014" s="189">
        <v>2025</v>
      </c>
      <c r="E1014" s="188">
        <f t="shared" si="395"/>
        <v>2.9358</v>
      </c>
      <c r="F1014" s="188">
        <v>1.69</v>
      </c>
      <c r="G1014" s="188">
        <v>0</v>
      </c>
      <c r="H1014" s="188">
        <v>0</v>
      </c>
      <c r="I1014" s="188">
        <v>0</v>
      </c>
      <c r="J1014" s="188">
        <v>1.2458</v>
      </c>
      <c r="K1014" s="261">
        <f t="shared" si="386"/>
        <v>2.9358</v>
      </c>
      <c r="L1014" s="94"/>
      <c r="M1014" s="50"/>
      <c r="N1014" s="95"/>
      <c r="O1014" s="149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65"/>
      <c r="AQ1014" s="65"/>
      <c r="AR1014" s="65"/>
      <c r="AS1014" s="65"/>
      <c r="AT1014" s="65"/>
      <c r="AU1014" s="65"/>
      <c r="AV1014" s="65"/>
      <c r="AW1014" s="65"/>
      <c r="AX1014" s="65"/>
      <c r="AY1014" s="65"/>
      <c r="AZ1014" s="65"/>
      <c r="BA1014" s="65"/>
      <c r="BB1014" s="65"/>
      <c r="BC1014" s="65"/>
      <c r="BD1014" s="65"/>
      <c r="BE1014" s="66"/>
    </row>
    <row r="1015" spans="1:57" s="48" customFormat="1" ht="14.25" customHeight="1" x14ac:dyDescent="0.2">
      <c r="A1015" s="164"/>
      <c r="B1015" s="737"/>
      <c r="C1015" s="739" t="s">
        <v>1002</v>
      </c>
      <c r="D1015" s="189">
        <v>2026</v>
      </c>
      <c r="E1015" s="188">
        <f t="shared" si="395"/>
        <v>2.9358</v>
      </c>
      <c r="F1015" s="188">
        <v>1.69</v>
      </c>
      <c r="G1015" s="188">
        <v>0</v>
      </c>
      <c r="H1015" s="188">
        <v>0</v>
      </c>
      <c r="I1015" s="188">
        <v>0</v>
      </c>
      <c r="J1015" s="188">
        <v>1.2458</v>
      </c>
      <c r="K1015" s="261">
        <f t="shared" si="386"/>
        <v>2.9358</v>
      </c>
      <c r="L1015" s="94"/>
      <c r="M1015" s="50"/>
      <c r="N1015" s="95"/>
      <c r="O1015" s="149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65"/>
      <c r="AQ1015" s="65"/>
      <c r="AR1015" s="65"/>
      <c r="AS1015" s="65"/>
      <c r="AT1015" s="65"/>
      <c r="AU1015" s="65"/>
      <c r="AV1015" s="65"/>
      <c r="AW1015" s="65"/>
      <c r="AX1015" s="65"/>
      <c r="AY1015" s="65"/>
      <c r="AZ1015" s="65"/>
      <c r="BA1015" s="65"/>
      <c r="BB1015" s="65"/>
      <c r="BC1015" s="65"/>
      <c r="BD1015" s="65"/>
      <c r="BE1015" s="66"/>
    </row>
    <row r="1016" spans="1:57" s="48" customFormat="1" ht="14.25" customHeight="1" x14ac:dyDescent="0.2">
      <c r="A1016" s="164"/>
      <c r="B1016" s="737"/>
      <c r="C1016" s="740"/>
      <c r="D1016" s="189">
        <v>2027</v>
      </c>
      <c r="E1016" s="188">
        <f t="shared" si="395"/>
        <v>2.9358</v>
      </c>
      <c r="F1016" s="188">
        <v>1.69</v>
      </c>
      <c r="G1016" s="188">
        <v>0</v>
      </c>
      <c r="H1016" s="188">
        <v>0</v>
      </c>
      <c r="I1016" s="188">
        <v>0</v>
      </c>
      <c r="J1016" s="188">
        <v>1.2458</v>
      </c>
      <c r="K1016" s="261">
        <f t="shared" si="386"/>
        <v>2.9358</v>
      </c>
      <c r="L1016" s="94"/>
      <c r="M1016" s="50"/>
      <c r="N1016" s="95"/>
      <c r="O1016" s="149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/>
      <c r="BB1016" s="65"/>
      <c r="BC1016" s="65"/>
      <c r="BD1016" s="65"/>
      <c r="BE1016" s="66"/>
    </row>
    <row r="1017" spans="1:57" s="48" customFormat="1" ht="14.25" customHeight="1" x14ac:dyDescent="0.2">
      <c r="A1017" s="164"/>
      <c r="B1017" s="737"/>
      <c r="C1017" s="740"/>
      <c r="D1017" s="189">
        <v>2028</v>
      </c>
      <c r="E1017" s="188">
        <f t="shared" si="395"/>
        <v>2.9358</v>
      </c>
      <c r="F1017" s="188">
        <v>1.69</v>
      </c>
      <c r="G1017" s="188">
        <v>0</v>
      </c>
      <c r="H1017" s="188">
        <v>0</v>
      </c>
      <c r="I1017" s="188">
        <v>0</v>
      </c>
      <c r="J1017" s="188">
        <v>1.2458</v>
      </c>
      <c r="K1017" s="261">
        <f t="shared" si="386"/>
        <v>2.9358</v>
      </c>
      <c r="L1017" s="94"/>
      <c r="M1017" s="50"/>
      <c r="N1017" s="95"/>
      <c r="O1017" s="149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65"/>
      <c r="AQ1017" s="65"/>
      <c r="AR1017" s="65"/>
      <c r="AS1017" s="65"/>
      <c r="AT1017" s="65"/>
      <c r="AU1017" s="65"/>
      <c r="AV1017" s="65"/>
      <c r="AW1017" s="65"/>
      <c r="AX1017" s="65"/>
      <c r="AY1017" s="65"/>
      <c r="AZ1017" s="65"/>
      <c r="BA1017" s="65"/>
      <c r="BB1017" s="65"/>
      <c r="BC1017" s="65"/>
      <c r="BD1017" s="65"/>
      <c r="BE1017" s="66"/>
    </row>
    <row r="1018" spans="1:57" s="48" customFormat="1" ht="14.25" customHeight="1" x14ac:dyDescent="0.2">
      <c r="A1018" s="164"/>
      <c r="B1018" s="737"/>
      <c r="C1018" s="740"/>
      <c r="D1018" s="189">
        <v>2029</v>
      </c>
      <c r="E1018" s="188">
        <f t="shared" si="395"/>
        <v>2.9358</v>
      </c>
      <c r="F1018" s="188">
        <v>1.69</v>
      </c>
      <c r="G1018" s="188">
        <v>0</v>
      </c>
      <c r="H1018" s="188">
        <v>0</v>
      </c>
      <c r="I1018" s="188">
        <v>0</v>
      </c>
      <c r="J1018" s="188">
        <v>1.2458</v>
      </c>
      <c r="K1018" s="261">
        <f t="shared" si="386"/>
        <v>2.9358</v>
      </c>
      <c r="L1018" s="94"/>
      <c r="M1018" s="50"/>
      <c r="N1018" s="95"/>
      <c r="O1018" s="149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6"/>
    </row>
    <row r="1019" spans="1:57" s="48" customFormat="1" ht="14.25" customHeight="1" x14ac:dyDescent="0.2">
      <c r="A1019" s="164"/>
      <c r="B1019" s="738"/>
      <c r="C1019" s="741"/>
      <c r="D1019" s="189">
        <v>2030</v>
      </c>
      <c r="E1019" s="188">
        <f t="shared" si="395"/>
        <v>2.9358</v>
      </c>
      <c r="F1019" s="188">
        <v>1.69</v>
      </c>
      <c r="G1019" s="188">
        <v>0</v>
      </c>
      <c r="H1019" s="188">
        <v>0</v>
      </c>
      <c r="I1019" s="188">
        <v>0</v>
      </c>
      <c r="J1019" s="188">
        <v>1.2458</v>
      </c>
      <c r="K1019" s="261">
        <f t="shared" si="386"/>
        <v>2.9358</v>
      </c>
      <c r="L1019" s="94"/>
      <c r="M1019" s="50"/>
      <c r="N1019" s="95"/>
      <c r="O1019" s="149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65"/>
      <c r="AQ1019" s="65"/>
      <c r="AR1019" s="65"/>
      <c r="AS1019" s="65"/>
      <c r="AT1019" s="65"/>
      <c r="AU1019" s="65"/>
      <c r="AV1019" s="65"/>
      <c r="AW1019" s="65"/>
      <c r="AX1019" s="65"/>
      <c r="AY1019" s="65"/>
      <c r="AZ1019" s="65"/>
      <c r="BA1019" s="65"/>
      <c r="BB1019" s="65"/>
      <c r="BC1019" s="65"/>
      <c r="BD1019" s="65"/>
      <c r="BE1019" s="66"/>
    </row>
    <row r="1020" spans="1:57" s="48" customFormat="1" ht="23.25" customHeight="1" x14ac:dyDescent="0.2">
      <c r="A1020" s="662" t="s">
        <v>939</v>
      </c>
      <c r="B1020" s="728" t="s">
        <v>746</v>
      </c>
      <c r="C1020" s="256"/>
      <c r="D1020" s="46" t="s">
        <v>198</v>
      </c>
      <c r="E1020" s="47">
        <f>E1021+E1022+E1023+E1024+E1025+E1026+E1027+E1028+E1029+E1030+E1031+E1032</f>
        <v>1638.9453999999994</v>
      </c>
      <c r="F1020" s="47">
        <f>F1021+F1022+F1023+F1024+F1025+F1026+F1027+F1028+F1029+F1030+F1031+F1032</f>
        <v>1638.9453999999994</v>
      </c>
      <c r="G1020" s="47">
        <f t="shared" ref="G1020:J1020" si="396">G1021+G1022+G1023+G1024+G1025+G1026+G1027+G1028+G1029+G1030+G1031+G1032</f>
        <v>0</v>
      </c>
      <c r="H1020" s="47">
        <f t="shared" si="396"/>
        <v>0</v>
      </c>
      <c r="I1020" s="47">
        <f t="shared" si="396"/>
        <v>0</v>
      </c>
      <c r="J1020" s="47">
        <f t="shared" si="396"/>
        <v>0</v>
      </c>
      <c r="K1020" s="261">
        <f t="shared" si="386"/>
        <v>1638.9453999999994</v>
      </c>
      <c r="L1020" s="94"/>
      <c r="M1020" s="50"/>
      <c r="N1020" s="95"/>
      <c r="O1020" s="746" t="s">
        <v>747</v>
      </c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/>
      <c r="BB1020" s="65"/>
      <c r="BC1020" s="65"/>
      <c r="BD1020" s="65"/>
      <c r="BE1020" s="66"/>
    </row>
    <row r="1021" spans="1:57" s="418" customFormat="1" ht="24.75" customHeight="1" x14ac:dyDescent="0.2">
      <c r="A1021" s="663"/>
      <c r="B1021" s="742"/>
      <c r="C1021" s="743" t="s">
        <v>744</v>
      </c>
      <c r="D1021" s="412">
        <v>2019</v>
      </c>
      <c r="E1021" s="413">
        <f>F1021</f>
        <v>143.0934</v>
      </c>
      <c r="F1021" s="413">
        <v>143.0934</v>
      </c>
      <c r="G1021" s="413">
        <v>0</v>
      </c>
      <c r="H1021" s="413">
        <v>0</v>
      </c>
      <c r="I1021" s="413">
        <v>0</v>
      </c>
      <c r="J1021" s="413">
        <v>0</v>
      </c>
      <c r="K1021" s="414">
        <f t="shared" si="386"/>
        <v>143.0934</v>
      </c>
      <c r="L1021" s="432"/>
      <c r="M1021" s="415"/>
      <c r="N1021" s="433"/>
      <c r="O1021" s="701"/>
      <c r="P1021" s="416"/>
      <c r="Q1021" s="416"/>
      <c r="R1021" s="416"/>
      <c r="S1021" s="416"/>
      <c r="T1021" s="416"/>
      <c r="U1021" s="416"/>
      <c r="V1021" s="416"/>
      <c r="W1021" s="416"/>
      <c r="X1021" s="416"/>
      <c r="Y1021" s="416"/>
      <c r="Z1021" s="416"/>
      <c r="AA1021" s="416"/>
      <c r="AB1021" s="416"/>
      <c r="AC1021" s="416"/>
      <c r="AD1021" s="416"/>
      <c r="AE1021" s="416"/>
      <c r="AF1021" s="416"/>
      <c r="AG1021" s="416"/>
      <c r="AH1021" s="416"/>
      <c r="AI1021" s="416"/>
      <c r="AJ1021" s="416"/>
      <c r="AK1021" s="416"/>
      <c r="AL1021" s="416"/>
      <c r="AM1021" s="416"/>
      <c r="AN1021" s="416"/>
      <c r="AO1021" s="416"/>
      <c r="AP1021" s="416"/>
      <c r="AQ1021" s="416"/>
      <c r="AR1021" s="416"/>
      <c r="AS1021" s="416"/>
      <c r="AT1021" s="416"/>
      <c r="AU1021" s="416"/>
      <c r="AV1021" s="416"/>
      <c r="AW1021" s="416"/>
      <c r="AX1021" s="416"/>
      <c r="AY1021" s="416"/>
      <c r="AZ1021" s="416"/>
      <c r="BA1021" s="416"/>
      <c r="BB1021" s="416"/>
      <c r="BC1021" s="416"/>
      <c r="BD1021" s="416"/>
      <c r="BE1021" s="417"/>
    </row>
    <row r="1022" spans="1:57" s="131" customFormat="1" ht="15.75" customHeight="1" x14ac:dyDescent="0.2">
      <c r="A1022" s="308"/>
      <c r="B1022" s="705" t="s">
        <v>940</v>
      </c>
      <c r="C1022" s="744"/>
      <c r="D1022" s="132">
        <v>2020</v>
      </c>
      <c r="E1022" s="133">
        <f t="shared" ref="E1022:E1032" si="397">F1022</f>
        <v>145.28030000000001</v>
      </c>
      <c r="F1022" s="133">
        <v>145.28030000000001</v>
      </c>
      <c r="G1022" s="133">
        <v>0</v>
      </c>
      <c r="H1022" s="133">
        <v>0</v>
      </c>
      <c r="I1022" s="133">
        <v>0</v>
      </c>
      <c r="J1022" s="133">
        <v>0</v>
      </c>
      <c r="K1022" s="136">
        <f t="shared" si="386"/>
        <v>145.28030000000001</v>
      </c>
      <c r="L1022" s="426"/>
      <c r="M1022" s="127"/>
      <c r="N1022" s="427"/>
      <c r="O1022" s="701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29"/>
      <c r="Z1022" s="129"/>
      <c r="AA1022" s="129"/>
      <c r="AB1022" s="129"/>
      <c r="AC1022" s="129"/>
      <c r="AD1022" s="129"/>
      <c r="AE1022" s="129"/>
      <c r="AF1022" s="129"/>
      <c r="AG1022" s="129"/>
      <c r="AH1022" s="129"/>
      <c r="AI1022" s="129"/>
      <c r="AJ1022" s="129"/>
      <c r="AK1022" s="129"/>
      <c r="AL1022" s="129"/>
      <c r="AM1022" s="129"/>
      <c r="AN1022" s="129"/>
      <c r="AO1022" s="129"/>
      <c r="AP1022" s="129"/>
      <c r="AQ1022" s="129"/>
      <c r="AR1022" s="129"/>
      <c r="AS1022" s="129"/>
      <c r="AT1022" s="129"/>
      <c r="AU1022" s="129"/>
      <c r="AV1022" s="129"/>
      <c r="AW1022" s="129"/>
      <c r="AX1022" s="129"/>
      <c r="AY1022" s="129"/>
      <c r="AZ1022" s="129"/>
      <c r="BA1022" s="129"/>
      <c r="BB1022" s="129"/>
      <c r="BC1022" s="129"/>
      <c r="BD1022" s="129"/>
      <c r="BE1022" s="130"/>
    </row>
    <row r="1023" spans="1:57" s="131" customFormat="1" ht="15.75" customHeight="1" x14ac:dyDescent="0.2">
      <c r="A1023" s="308"/>
      <c r="B1023" s="706"/>
      <c r="C1023" s="744"/>
      <c r="D1023" s="132">
        <v>2021</v>
      </c>
      <c r="E1023" s="133">
        <f t="shared" si="397"/>
        <v>130.91239999999999</v>
      </c>
      <c r="F1023" s="133">
        <v>130.91239999999999</v>
      </c>
      <c r="G1023" s="133">
        <v>0</v>
      </c>
      <c r="H1023" s="133">
        <v>0</v>
      </c>
      <c r="I1023" s="133">
        <v>0</v>
      </c>
      <c r="J1023" s="133">
        <v>0</v>
      </c>
      <c r="K1023" s="136">
        <f t="shared" si="386"/>
        <v>130.91239999999999</v>
      </c>
      <c r="L1023" s="426"/>
      <c r="M1023" s="127"/>
      <c r="N1023" s="427"/>
      <c r="O1023" s="701"/>
      <c r="P1023" s="129"/>
      <c r="Q1023" s="129"/>
      <c r="R1023" s="129"/>
      <c r="S1023" s="129"/>
      <c r="T1023" s="129"/>
      <c r="U1023" s="129"/>
      <c r="V1023" s="129"/>
      <c r="W1023" s="129"/>
      <c r="X1023" s="129"/>
      <c r="Y1023" s="129"/>
      <c r="Z1023" s="129"/>
      <c r="AA1023" s="129"/>
      <c r="AB1023" s="129"/>
      <c r="AC1023" s="129"/>
      <c r="AD1023" s="129"/>
      <c r="AE1023" s="129"/>
      <c r="AF1023" s="129"/>
      <c r="AG1023" s="129"/>
      <c r="AH1023" s="129"/>
      <c r="AI1023" s="129"/>
      <c r="AJ1023" s="129"/>
      <c r="AK1023" s="129"/>
      <c r="AL1023" s="129"/>
      <c r="AM1023" s="129"/>
      <c r="AN1023" s="129"/>
      <c r="AO1023" s="129"/>
      <c r="AP1023" s="129"/>
      <c r="AQ1023" s="129"/>
      <c r="AR1023" s="129"/>
      <c r="AS1023" s="129"/>
      <c r="AT1023" s="129"/>
      <c r="AU1023" s="129"/>
      <c r="AV1023" s="129"/>
      <c r="AW1023" s="129"/>
      <c r="AX1023" s="129"/>
      <c r="AY1023" s="129"/>
      <c r="AZ1023" s="129"/>
      <c r="BA1023" s="129"/>
      <c r="BB1023" s="129"/>
      <c r="BC1023" s="129"/>
      <c r="BD1023" s="129"/>
      <c r="BE1023" s="130"/>
    </row>
    <row r="1024" spans="1:57" s="131" customFormat="1" ht="15.75" customHeight="1" x14ac:dyDescent="0.2">
      <c r="A1024" s="308"/>
      <c r="B1024" s="706"/>
      <c r="C1024" s="744"/>
      <c r="D1024" s="132">
        <v>2022</v>
      </c>
      <c r="E1024" s="133">
        <f t="shared" si="397"/>
        <v>134.25129999999999</v>
      </c>
      <c r="F1024" s="133">
        <v>134.25129999999999</v>
      </c>
      <c r="G1024" s="133">
        <v>0</v>
      </c>
      <c r="H1024" s="133">
        <v>0</v>
      </c>
      <c r="I1024" s="133">
        <v>0</v>
      </c>
      <c r="J1024" s="133">
        <v>0</v>
      </c>
      <c r="K1024" s="136">
        <f t="shared" si="386"/>
        <v>134.25129999999999</v>
      </c>
      <c r="L1024" s="426"/>
      <c r="M1024" s="127"/>
      <c r="N1024" s="427"/>
      <c r="O1024" s="701"/>
      <c r="P1024" s="129"/>
      <c r="Q1024" s="129"/>
      <c r="R1024" s="129"/>
      <c r="S1024" s="129"/>
      <c r="T1024" s="129"/>
      <c r="U1024" s="129"/>
      <c r="V1024" s="129"/>
      <c r="W1024" s="129"/>
      <c r="X1024" s="129"/>
      <c r="Y1024" s="129"/>
      <c r="Z1024" s="129"/>
      <c r="AA1024" s="129"/>
      <c r="AB1024" s="129"/>
      <c r="AC1024" s="129"/>
      <c r="AD1024" s="129"/>
      <c r="AE1024" s="129"/>
      <c r="AF1024" s="129"/>
      <c r="AG1024" s="129"/>
      <c r="AH1024" s="129"/>
      <c r="AI1024" s="129"/>
      <c r="AJ1024" s="129"/>
      <c r="AK1024" s="129"/>
      <c r="AL1024" s="129"/>
      <c r="AM1024" s="129"/>
      <c r="AN1024" s="129"/>
      <c r="AO1024" s="129"/>
      <c r="AP1024" s="129"/>
      <c r="AQ1024" s="129"/>
      <c r="AR1024" s="129"/>
      <c r="AS1024" s="129"/>
      <c r="AT1024" s="129"/>
      <c r="AU1024" s="129"/>
      <c r="AV1024" s="129"/>
      <c r="AW1024" s="129"/>
      <c r="AX1024" s="129"/>
      <c r="AY1024" s="129"/>
      <c r="AZ1024" s="129"/>
      <c r="BA1024" s="129"/>
      <c r="BB1024" s="129"/>
      <c r="BC1024" s="129"/>
      <c r="BD1024" s="129"/>
      <c r="BE1024" s="130"/>
    </row>
    <row r="1025" spans="1:57" s="48" customFormat="1" ht="15.75" customHeight="1" x14ac:dyDescent="0.2">
      <c r="A1025" s="171"/>
      <c r="B1025" s="706"/>
      <c r="C1025" s="744"/>
      <c r="D1025" s="189">
        <v>2023</v>
      </c>
      <c r="E1025" s="188">
        <f t="shared" si="397"/>
        <v>135.67599999999999</v>
      </c>
      <c r="F1025" s="188">
        <v>135.67599999999999</v>
      </c>
      <c r="G1025" s="188">
        <v>0</v>
      </c>
      <c r="H1025" s="188">
        <v>0</v>
      </c>
      <c r="I1025" s="188">
        <v>0</v>
      </c>
      <c r="J1025" s="188">
        <v>0</v>
      </c>
      <c r="K1025" s="261">
        <f t="shared" si="386"/>
        <v>135.67599999999999</v>
      </c>
      <c r="L1025" s="94"/>
      <c r="M1025" s="50"/>
      <c r="N1025" s="95"/>
      <c r="O1025" s="701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6"/>
    </row>
    <row r="1026" spans="1:57" s="48" customFormat="1" ht="14.25" customHeight="1" x14ac:dyDescent="0.2">
      <c r="A1026" s="171"/>
      <c r="B1026" s="706"/>
      <c r="C1026" s="744"/>
      <c r="D1026" s="189">
        <v>2024</v>
      </c>
      <c r="E1026" s="188">
        <f t="shared" si="397"/>
        <v>135.67599999999999</v>
      </c>
      <c r="F1026" s="188">
        <v>135.67599999999999</v>
      </c>
      <c r="G1026" s="188">
        <v>0</v>
      </c>
      <c r="H1026" s="188">
        <v>0</v>
      </c>
      <c r="I1026" s="188">
        <v>0</v>
      </c>
      <c r="J1026" s="188">
        <v>0</v>
      </c>
      <c r="K1026" s="261">
        <f t="shared" si="386"/>
        <v>135.67599999999999</v>
      </c>
      <c r="L1026" s="94"/>
      <c r="M1026" s="50"/>
      <c r="N1026" s="95"/>
      <c r="O1026" s="701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6"/>
    </row>
    <row r="1027" spans="1:57" s="48" customFormat="1" ht="14.25" customHeight="1" x14ac:dyDescent="0.2">
      <c r="A1027" s="171"/>
      <c r="B1027" s="706"/>
      <c r="C1027" s="745"/>
      <c r="D1027" s="189">
        <v>2025</v>
      </c>
      <c r="E1027" s="188">
        <f t="shared" si="397"/>
        <v>135.67599999999999</v>
      </c>
      <c r="F1027" s="188">
        <v>135.67599999999999</v>
      </c>
      <c r="G1027" s="188">
        <v>0</v>
      </c>
      <c r="H1027" s="188">
        <v>0</v>
      </c>
      <c r="I1027" s="188">
        <v>0</v>
      </c>
      <c r="J1027" s="188">
        <v>0</v>
      </c>
      <c r="K1027" s="261">
        <f t="shared" si="386"/>
        <v>135.67599999999999</v>
      </c>
      <c r="L1027" s="94"/>
      <c r="M1027" s="50"/>
      <c r="N1027" s="95"/>
      <c r="O1027" s="701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6"/>
    </row>
    <row r="1028" spans="1:57" s="48" customFormat="1" ht="14.25" customHeight="1" x14ac:dyDescent="0.2">
      <c r="A1028" s="171"/>
      <c r="B1028" s="706"/>
      <c r="C1028" s="739" t="s">
        <v>745</v>
      </c>
      <c r="D1028" s="189">
        <v>2026</v>
      </c>
      <c r="E1028" s="188">
        <f t="shared" si="397"/>
        <v>135.67599999999999</v>
      </c>
      <c r="F1028" s="188">
        <v>135.67599999999999</v>
      </c>
      <c r="G1028" s="188">
        <v>0</v>
      </c>
      <c r="H1028" s="188">
        <v>0</v>
      </c>
      <c r="I1028" s="188">
        <v>0</v>
      </c>
      <c r="J1028" s="188">
        <v>0</v>
      </c>
      <c r="K1028" s="261">
        <f t="shared" si="386"/>
        <v>135.67599999999999</v>
      </c>
      <c r="L1028" s="94"/>
      <c r="M1028" s="50"/>
      <c r="N1028" s="95"/>
      <c r="O1028" s="701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6"/>
    </row>
    <row r="1029" spans="1:57" s="48" customFormat="1" ht="14.25" customHeight="1" x14ac:dyDescent="0.2">
      <c r="A1029" s="171"/>
      <c r="B1029" s="706"/>
      <c r="C1029" s="740"/>
      <c r="D1029" s="189">
        <v>2027</v>
      </c>
      <c r="E1029" s="188">
        <f t="shared" si="397"/>
        <v>135.67599999999999</v>
      </c>
      <c r="F1029" s="188">
        <v>135.67599999999999</v>
      </c>
      <c r="G1029" s="188">
        <v>0</v>
      </c>
      <c r="H1029" s="188">
        <v>0</v>
      </c>
      <c r="I1029" s="188">
        <v>0</v>
      </c>
      <c r="J1029" s="188">
        <v>0</v>
      </c>
      <c r="K1029" s="261">
        <f t="shared" si="386"/>
        <v>135.67599999999999</v>
      </c>
      <c r="L1029" s="94"/>
      <c r="M1029" s="50"/>
      <c r="N1029" s="95"/>
      <c r="O1029" s="701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6"/>
    </row>
    <row r="1030" spans="1:57" s="48" customFormat="1" ht="14.25" customHeight="1" x14ac:dyDescent="0.2">
      <c r="A1030" s="171"/>
      <c r="B1030" s="706"/>
      <c r="C1030" s="740"/>
      <c r="D1030" s="189">
        <v>2028</v>
      </c>
      <c r="E1030" s="188">
        <f t="shared" si="397"/>
        <v>135.67599999999999</v>
      </c>
      <c r="F1030" s="188">
        <v>135.67599999999999</v>
      </c>
      <c r="G1030" s="188">
        <v>0</v>
      </c>
      <c r="H1030" s="188">
        <v>0</v>
      </c>
      <c r="I1030" s="188">
        <v>0</v>
      </c>
      <c r="J1030" s="188">
        <v>0</v>
      </c>
      <c r="K1030" s="261">
        <f t="shared" si="386"/>
        <v>135.67599999999999</v>
      </c>
      <c r="L1030" s="94"/>
      <c r="M1030" s="50"/>
      <c r="N1030" s="95"/>
      <c r="O1030" s="701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6"/>
    </row>
    <row r="1031" spans="1:57" s="48" customFormat="1" ht="14.25" customHeight="1" x14ac:dyDescent="0.2">
      <c r="A1031" s="171"/>
      <c r="B1031" s="706"/>
      <c r="C1031" s="740"/>
      <c r="D1031" s="189">
        <v>2029</v>
      </c>
      <c r="E1031" s="188">
        <f t="shared" si="397"/>
        <v>135.67599999999999</v>
      </c>
      <c r="F1031" s="188">
        <v>135.67599999999999</v>
      </c>
      <c r="G1031" s="188">
        <v>0</v>
      </c>
      <c r="H1031" s="188">
        <v>0</v>
      </c>
      <c r="I1031" s="188">
        <v>0</v>
      </c>
      <c r="J1031" s="188">
        <v>0</v>
      </c>
      <c r="K1031" s="261">
        <f t="shared" si="386"/>
        <v>135.67599999999999</v>
      </c>
      <c r="L1031" s="94"/>
      <c r="M1031" s="50"/>
      <c r="N1031" s="95"/>
      <c r="O1031" s="701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  <c r="AF1031" s="65"/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6"/>
    </row>
    <row r="1032" spans="1:57" s="48" customFormat="1" ht="14.25" customHeight="1" x14ac:dyDescent="0.2">
      <c r="A1032" s="181"/>
      <c r="B1032" s="730"/>
      <c r="C1032" s="741"/>
      <c r="D1032" s="189">
        <v>2030</v>
      </c>
      <c r="E1032" s="188">
        <f t="shared" si="397"/>
        <v>135.67599999999999</v>
      </c>
      <c r="F1032" s="188">
        <v>135.67599999999999</v>
      </c>
      <c r="G1032" s="188">
        <v>0</v>
      </c>
      <c r="H1032" s="188">
        <v>0</v>
      </c>
      <c r="I1032" s="188">
        <v>0</v>
      </c>
      <c r="J1032" s="188">
        <v>0</v>
      </c>
      <c r="K1032" s="261">
        <f t="shared" si="386"/>
        <v>135.67599999999999</v>
      </c>
      <c r="L1032" s="94"/>
      <c r="M1032" s="50"/>
      <c r="N1032" s="95"/>
      <c r="O1032" s="702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/>
      <c r="BB1032" s="65"/>
      <c r="BC1032" s="65"/>
      <c r="BD1032" s="65"/>
      <c r="BE1032" s="66"/>
    </row>
    <row r="1033" spans="1:57" s="48" customFormat="1" ht="12.75" customHeight="1" x14ac:dyDescent="0.2">
      <c r="A1033" s="731" t="s">
        <v>706</v>
      </c>
      <c r="B1033" s="649" t="s">
        <v>707</v>
      </c>
      <c r="C1033" s="177"/>
      <c r="D1033" s="46" t="s">
        <v>198</v>
      </c>
      <c r="E1033" s="47">
        <f>E1034+E1035+E1036+E1037+E1038+E1039+E1040+E1041+E1042+E1043+E1044+E1045</f>
        <v>13.259011641518081</v>
      </c>
      <c r="F1033" s="47">
        <f>F1034+F1035+F1036+F1037+F1038+F1039+F1040+F1041+F1042+F1043+F1044+F1045</f>
        <v>13.259011641518081</v>
      </c>
      <c r="G1033" s="47">
        <f>G1034+G1035+G1036+G1037+G1038+G1039+G1040+G1041+G1042+G1043+G1044+G1045</f>
        <v>0</v>
      </c>
      <c r="H1033" s="47">
        <f t="shared" ref="H1033:J1033" si="398">H1034+H1035+H1036+H1037+H1038+H1039+H1040+H1041+H1042+H1043+H1044+H1045</f>
        <v>0</v>
      </c>
      <c r="I1033" s="47">
        <f t="shared" si="398"/>
        <v>0</v>
      </c>
      <c r="J1033" s="47">
        <f t="shared" si="398"/>
        <v>0</v>
      </c>
      <c r="K1033" s="261">
        <f t="shared" si="386"/>
        <v>13.259011641518081</v>
      </c>
      <c r="L1033" s="52"/>
      <c r="M1033" s="50"/>
      <c r="N1033" s="51"/>
      <c r="O1033" s="49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/>
      <c r="BB1033" s="65"/>
      <c r="BC1033" s="65"/>
      <c r="BD1033" s="65"/>
      <c r="BE1033" s="66"/>
    </row>
    <row r="1034" spans="1:57" s="48" customFormat="1" ht="12.75" customHeight="1" x14ac:dyDescent="0.2">
      <c r="A1034" s="732"/>
      <c r="B1034" s="650"/>
      <c r="C1034" s="250"/>
      <c r="D1034" s="46">
        <v>2019</v>
      </c>
      <c r="E1034" s="47">
        <f>E1054</f>
        <v>0.05</v>
      </c>
      <c r="F1034" s="47">
        <f>F1054</f>
        <v>0.05</v>
      </c>
      <c r="G1034" s="47">
        <f t="shared" ref="G1034:J1034" si="399">G1054</f>
        <v>0</v>
      </c>
      <c r="H1034" s="47">
        <f t="shared" si="399"/>
        <v>0</v>
      </c>
      <c r="I1034" s="47">
        <f t="shared" si="399"/>
        <v>0</v>
      </c>
      <c r="J1034" s="47">
        <f t="shared" si="399"/>
        <v>0</v>
      </c>
      <c r="K1034" s="261">
        <f t="shared" si="386"/>
        <v>0.05</v>
      </c>
      <c r="L1034" s="52"/>
      <c r="M1034" s="50"/>
      <c r="N1034" s="51"/>
      <c r="O1034" s="49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/>
      <c r="BB1034" s="65"/>
      <c r="BC1034" s="65"/>
      <c r="BD1034" s="65"/>
      <c r="BE1034" s="66"/>
    </row>
    <row r="1035" spans="1:57" s="48" customFormat="1" ht="12.75" customHeight="1" x14ac:dyDescent="0.2">
      <c r="A1035" s="732"/>
      <c r="B1035" s="650"/>
      <c r="C1035" s="250"/>
      <c r="D1035" s="46">
        <v>2020</v>
      </c>
      <c r="E1035" s="47">
        <f>E1055+E1082</f>
        <v>7.2400000000000006E-2</v>
      </c>
      <c r="F1035" s="47">
        <f t="shared" ref="F1035:J1036" si="400">F1055+F1082</f>
        <v>7.2400000000000006E-2</v>
      </c>
      <c r="G1035" s="47">
        <f t="shared" si="400"/>
        <v>0</v>
      </c>
      <c r="H1035" s="47">
        <f t="shared" si="400"/>
        <v>0</v>
      </c>
      <c r="I1035" s="47">
        <f t="shared" si="400"/>
        <v>0</v>
      </c>
      <c r="J1035" s="47">
        <f t="shared" si="400"/>
        <v>0</v>
      </c>
      <c r="K1035" s="261">
        <f t="shared" si="386"/>
        <v>7.2400000000000006E-2</v>
      </c>
      <c r="L1035" s="52"/>
      <c r="M1035" s="50"/>
      <c r="N1035" s="51"/>
      <c r="O1035" s="49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/>
      <c r="BB1035" s="65"/>
      <c r="BC1035" s="65"/>
      <c r="BD1035" s="65"/>
      <c r="BE1035" s="66"/>
    </row>
    <row r="1036" spans="1:57" s="48" customFormat="1" ht="12.75" customHeight="1" x14ac:dyDescent="0.2">
      <c r="A1036" s="732"/>
      <c r="B1036" s="650"/>
      <c r="C1036" s="250"/>
      <c r="D1036" s="46">
        <v>2021</v>
      </c>
      <c r="E1036" s="47">
        <f>E1056+E1083</f>
        <v>0.62400999999999995</v>
      </c>
      <c r="F1036" s="47">
        <f t="shared" si="400"/>
        <v>0.62400999999999995</v>
      </c>
      <c r="G1036" s="47">
        <f t="shared" si="400"/>
        <v>0</v>
      </c>
      <c r="H1036" s="47">
        <f t="shared" si="400"/>
        <v>0</v>
      </c>
      <c r="I1036" s="47">
        <f t="shared" si="400"/>
        <v>0</v>
      </c>
      <c r="J1036" s="47">
        <f t="shared" si="400"/>
        <v>0</v>
      </c>
      <c r="K1036" s="261">
        <f t="shared" si="386"/>
        <v>0.62400999999999995</v>
      </c>
      <c r="L1036" s="52"/>
      <c r="M1036" s="50"/>
      <c r="N1036" s="51"/>
      <c r="O1036" s="49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/>
      <c r="BB1036" s="65"/>
      <c r="BC1036" s="65"/>
      <c r="BD1036" s="65"/>
      <c r="BE1036" s="66"/>
    </row>
    <row r="1037" spans="1:57" s="48" customFormat="1" ht="12.75" customHeight="1" x14ac:dyDescent="0.2">
      <c r="A1037" s="732"/>
      <c r="B1037" s="650"/>
      <c r="C1037" s="250"/>
      <c r="D1037" s="46">
        <v>2022</v>
      </c>
      <c r="E1037" s="47">
        <f>E1084+E1057</f>
        <v>5.2510000000000001E-2</v>
      </c>
      <c r="F1037" s="47">
        <f t="shared" ref="F1037:J1037" si="401">F1084</f>
        <v>5.2510000000000001E-2</v>
      </c>
      <c r="G1037" s="47">
        <f t="shared" si="401"/>
        <v>0</v>
      </c>
      <c r="H1037" s="47">
        <f t="shared" si="401"/>
        <v>0</v>
      </c>
      <c r="I1037" s="47">
        <f t="shared" si="401"/>
        <v>0</v>
      </c>
      <c r="J1037" s="47">
        <f t="shared" si="401"/>
        <v>0</v>
      </c>
      <c r="K1037" s="261">
        <f t="shared" si="386"/>
        <v>5.2510000000000001E-2</v>
      </c>
      <c r="L1037" s="52"/>
      <c r="M1037" s="50"/>
      <c r="N1037" s="51"/>
      <c r="O1037" s="49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/>
      <c r="BB1037" s="65"/>
      <c r="BC1037" s="65"/>
      <c r="BD1037" s="65"/>
      <c r="BE1037" s="66"/>
    </row>
    <row r="1038" spans="1:57" s="48" customFormat="1" ht="12.75" customHeight="1" x14ac:dyDescent="0.2">
      <c r="A1038" s="732"/>
      <c r="B1038" s="650"/>
      <c r="C1038" s="250"/>
      <c r="D1038" s="46">
        <v>2023</v>
      </c>
      <c r="E1038" s="47">
        <f>E1080+E1058+E1085+E1106</f>
        <v>1.1184799999999999</v>
      </c>
      <c r="F1038" s="47">
        <f t="shared" ref="F1038:J1038" si="402">F1080+F1058+F1085+F1106</f>
        <v>1.1184799999999999</v>
      </c>
      <c r="G1038" s="47">
        <f t="shared" si="402"/>
        <v>0</v>
      </c>
      <c r="H1038" s="47">
        <f t="shared" si="402"/>
        <v>0</v>
      </c>
      <c r="I1038" s="47">
        <f t="shared" si="402"/>
        <v>0</v>
      </c>
      <c r="J1038" s="47">
        <f t="shared" si="402"/>
        <v>0</v>
      </c>
      <c r="K1038" s="261">
        <f t="shared" si="386"/>
        <v>1.1184799999999999</v>
      </c>
      <c r="L1038" s="52"/>
      <c r="M1038" s="50"/>
      <c r="N1038" s="51"/>
      <c r="O1038" s="49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/>
      <c r="BB1038" s="65"/>
      <c r="BC1038" s="65"/>
      <c r="BD1038" s="65"/>
      <c r="BE1038" s="66"/>
    </row>
    <row r="1039" spans="1:57" s="48" customFormat="1" ht="12.75" customHeight="1" x14ac:dyDescent="0.2">
      <c r="A1039" s="732"/>
      <c r="B1039" s="650"/>
      <c r="C1039" s="250"/>
      <c r="D1039" s="46">
        <v>2024</v>
      </c>
      <c r="E1039" s="47">
        <f>E1059+E1086+E1107</f>
        <v>1.7029000000000001</v>
      </c>
      <c r="F1039" s="47">
        <f t="shared" ref="F1039:J1039" si="403">F1059+F1086+F1107</f>
        <v>1.7029000000000001</v>
      </c>
      <c r="G1039" s="47">
        <f t="shared" si="403"/>
        <v>0</v>
      </c>
      <c r="H1039" s="47">
        <f t="shared" si="403"/>
        <v>0</v>
      </c>
      <c r="I1039" s="47">
        <f t="shared" si="403"/>
        <v>0</v>
      </c>
      <c r="J1039" s="47">
        <f t="shared" si="403"/>
        <v>0</v>
      </c>
      <c r="K1039" s="261">
        <f t="shared" si="386"/>
        <v>1.7029000000000001</v>
      </c>
      <c r="L1039" s="52"/>
      <c r="M1039" s="50"/>
      <c r="N1039" s="51"/>
      <c r="O1039" s="49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/>
      <c r="BB1039" s="65"/>
      <c r="BC1039" s="65"/>
      <c r="BD1039" s="65"/>
      <c r="BE1039" s="66"/>
    </row>
    <row r="1040" spans="1:57" s="48" customFormat="1" ht="12.75" customHeight="1" x14ac:dyDescent="0.2">
      <c r="A1040" s="732"/>
      <c r="B1040" s="650"/>
      <c r="C1040" s="250"/>
      <c r="D1040" s="46">
        <v>2025</v>
      </c>
      <c r="E1040" s="47">
        <f>E1060+E1108</f>
        <v>1.1152</v>
      </c>
      <c r="F1040" s="47">
        <f t="shared" ref="F1040:J1040" si="404">F1060+F1108</f>
        <v>1.1152</v>
      </c>
      <c r="G1040" s="47">
        <f t="shared" si="404"/>
        <v>0</v>
      </c>
      <c r="H1040" s="47">
        <f t="shared" si="404"/>
        <v>0</v>
      </c>
      <c r="I1040" s="47">
        <f t="shared" si="404"/>
        <v>0</v>
      </c>
      <c r="J1040" s="47">
        <f t="shared" si="404"/>
        <v>0</v>
      </c>
      <c r="K1040" s="261">
        <f t="shared" ref="K1040:K1103" si="405">F1040+G1040+H1040+I1040+J1040</f>
        <v>1.1152</v>
      </c>
      <c r="L1040" s="52"/>
      <c r="M1040" s="50"/>
      <c r="N1040" s="51"/>
      <c r="O1040" s="49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/>
      <c r="BB1040" s="65"/>
      <c r="BC1040" s="65"/>
      <c r="BD1040" s="65"/>
      <c r="BE1040" s="66"/>
    </row>
    <row r="1041" spans="1:57" s="48" customFormat="1" ht="12.75" customHeight="1" x14ac:dyDescent="0.2">
      <c r="A1041" s="732"/>
      <c r="B1041" s="650"/>
      <c r="C1041" s="250"/>
      <c r="D1041" s="46">
        <v>2026</v>
      </c>
      <c r="E1041" s="47">
        <f>E1047+E1067+E1061</f>
        <v>2.188968</v>
      </c>
      <c r="F1041" s="47">
        <f t="shared" ref="F1041:F1043" si="406">F1047+F1067+F1061</f>
        <v>2.188968</v>
      </c>
      <c r="G1041" s="47">
        <f>G1047+G1067</f>
        <v>0</v>
      </c>
      <c r="H1041" s="47">
        <f>H1047+H1067</f>
        <v>0</v>
      </c>
      <c r="I1041" s="47">
        <f>I1047+I1067</f>
        <v>0</v>
      </c>
      <c r="J1041" s="47">
        <f>J1047+J1067</f>
        <v>0</v>
      </c>
      <c r="K1041" s="261">
        <f t="shared" si="405"/>
        <v>2.188968</v>
      </c>
      <c r="L1041" s="52"/>
      <c r="M1041" s="50"/>
      <c r="N1041" s="51"/>
      <c r="O1041" s="49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/>
      <c r="BB1041" s="65"/>
      <c r="BC1041" s="65"/>
      <c r="BD1041" s="65"/>
      <c r="BE1041" s="66"/>
    </row>
    <row r="1042" spans="1:57" s="48" customFormat="1" ht="12.75" customHeight="1" x14ac:dyDescent="0.2">
      <c r="A1042" s="732"/>
      <c r="B1042" s="650"/>
      <c r="C1042" s="717"/>
      <c r="D1042" s="46">
        <v>2027</v>
      </c>
      <c r="E1042" s="47">
        <f>E1048+E1068+E1062</f>
        <v>2.19652672</v>
      </c>
      <c r="F1042" s="47">
        <f t="shared" si="406"/>
        <v>2.19652672</v>
      </c>
      <c r="G1042" s="47">
        <f>G1048+G1068+G1062</f>
        <v>0</v>
      </c>
      <c r="H1042" s="47">
        <f t="shared" ref="H1042:J1042" si="407">H1048+H1068+H1062</f>
        <v>0</v>
      </c>
      <c r="I1042" s="47">
        <f t="shared" si="407"/>
        <v>0</v>
      </c>
      <c r="J1042" s="47">
        <f t="shared" si="407"/>
        <v>0</v>
      </c>
      <c r="K1042" s="261">
        <f t="shared" si="405"/>
        <v>2.19652672</v>
      </c>
      <c r="L1042" s="52"/>
      <c r="M1042" s="50"/>
      <c r="N1042" s="51"/>
      <c r="O1042" s="49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/>
      <c r="BB1042" s="65"/>
      <c r="BC1042" s="65"/>
      <c r="BD1042" s="65"/>
      <c r="BE1042" s="66"/>
    </row>
    <row r="1043" spans="1:57" s="48" customFormat="1" ht="12.75" customHeight="1" x14ac:dyDescent="0.2">
      <c r="A1043" s="732"/>
      <c r="B1043" s="650"/>
      <c r="C1043" s="717"/>
      <c r="D1043" s="46">
        <v>2028</v>
      </c>
      <c r="E1043" s="47">
        <f>E1049+E1069+E1063</f>
        <v>2.2043877888000001</v>
      </c>
      <c r="F1043" s="47">
        <f t="shared" si="406"/>
        <v>2.2043877888000001</v>
      </c>
      <c r="G1043" s="47">
        <f>G1049+G1069</f>
        <v>0</v>
      </c>
      <c r="H1043" s="47">
        <f>H1049+H1069</f>
        <v>0</v>
      </c>
      <c r="I1043" s="47">
        <f>I1049+I1069</f>
        <v>0</v>
      </c>
      <c r="J1043" s="47">
        <f>J1049+J1069</f>
        <v>0</v>
      </c>
      <c r="K1043" s="261">
        <f t="shared" si="405"/>
        <v>2.2043877888000001</v>
      </c>
      <c r="L1043" s="52"/>
      <c r="M1043" s="50"/>
      <c r="N1043" s="51"/>
      <c r="O1043" s="49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6"/>
    </row>
    <row r="1044" spans="1:57" s="48" customFormat="1" ht="12.75" customHeight="1" x14ac:dyDescent="0.2">
      <c r="A1044" s="732"/>
      <c r="B1044" s="650"/>
      <c r="C1044" s="717"/>
      <c r="D1044" s="46">
        <v>2029</v>
      </c>
      <c r="E1044" s="47">
        <f>E1070+E1064</f>
        <v>1.712563300352</v>
      </c>
      <c r="F1044" s="47">
        <f>F1070+F1064</f>
        <v>1.712563300352</v>
      </c>
      <c r="G1044" s="47">
        <f t="shared" ref="G1044:J1044" si="408">G1070</f>
        <v>0</v>
      </c>
      <c r="H1044" s="47">
        <f t="shared" si="408"/>
        <v>0</v>
      </c>
      <c r="I1044" s="47">
        <f t="shared" si="408"/>
        <v>0</v>
      </c>
      <c r="J1044" s="47">
        <f t="shared" si="408"/>
        <v>0</v>
      </c>
      <c r="K1044" s="261">
        <f t="shared" si="405"/>
        <v>1.712563300352</v>
      </c>
      <c r="L1044" s="52"/>
      <c r="M1044" s="50"/>
      <c r="N1044" s="51"/>
      <c r="O1044" s="49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65"/>
      <c r="AQ1044" s="65"/>
      <c r="AR1044" s="65"/>
      <c r="AS1044" s="65"/>
      <c r="AT1044" s="65"/>
      <c r="AU1044" s="65"/>
      <c r="AV1044" s="65"/>
      <c r="AW1044" s="65"/>
      <c r="AX1044" s="65"/>
      <c r="AY1044" s="65"/>
      <c r="AZ1044" s="65"/>
      <c r="BA1044" s="65"/>
      <c r="BB1044" s="65"/>
      <c r="BC1044" s="65"/>
      <c r="BD1044" s="65"/>
      <c r="BE1044" s="66"/>
    </row>
    <row r="1045" spans="1:57" s="48" customFormat="1" ht="15.75" customHeight="1" x14ac:dyDescent="0.2">
      <c r="A1045" s="733"/>
      <c r="B1045" s="651"/>
      <c r="C1045" s="734"/>
      <c r="D1045" s="46">
        <v>2030</v>
      </c>
      <c r="E1045" s="47">
        <f>F1045</f>
        <v>0.22106583236608005</v>
      </c>
      <c r="F1045" s="47">
        <f>F1065</f>
        <v>0.22106583236608005</v>
      </c>
      <c r="G1045" s="47">
        <f t="shared" ref="G1045:J1045" si="409">H1045</f>
        <v>0</v>
      </c>
      <c r="H1045" s="47">
        <f t="shared" si="409"/>
        <v>0</v>
      </c>
      <c r="I1045" s="47">
        <f t="shared" si="409"/>
        <v>0</v>
      </c>
      <c r="J1045" s="47">
        <f t="shared" si="409"/>
        <v>0</v>
      </c>
      <c r="K1045" s="261"/>
      <c r="L1045" s="52"/>
      <c r="M1045" s="50"/>
      <c r="N1045" s="51"/>
      <c r="O1045" s="62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/>
      <c r="BB1045" s="65"/>
      <c r="BC1045" s="65"/>
      <c r="BD1045" s="65"/>
      <c r="BE1045" s="66"/>
    </row>
    <row r="1046" spans="1:57" s="48" customFormat="1" ht="14.25" customHeight="1" x14ac:dyDescent="0.2">
      <c r="A1046" s="697" t="s">
        <v>708</v>
      </c>
      <c r="B1046" s="705" t="s">
        <v>499</v>
      </c>
      <c r="C1046" s="631" t="s">
        <v>402</v>
      </c>
      <c r="D1046" s="46" t="s">
        <v>198</v>
      </c>
      <c r="E1046" s="47">
        <f>E1047+E1049+E1048</f>
        <v>1.5</v>
      </c>
      <c r="F1046" s="47">
        <f t="shared" ref="F1046:J1046" si="410">F1047+F1049+F1048</f>
        <v>1.5</v>
      </c>
      <c r="G1046" s="47">
        <f t="shared" si="410"/>
        <v>0</v>
      </c>
      <c r="H1046" s="47">
        <f t="shared" si="410"/>
        <v>0</v>
      </c>
      <c r="I1046" s="47">
        <f t="shared" si="410"/>
        <v>0</v>
      </c>
      <c r="J1046" s="47">
        <f t="shared" si="410"/>
        <v>0</v>
      </c>
      <c r="K1046" s="261">
        <f t="shared" si="405"/>
        <v>1.5</v>
      </c>
      <c r="L1046" s="52"/>
      <c r="M1046" s="50"/>
      <c r="N1046" s="51"/>
      <c r="O1046" s="695" t="s">
        <v>187</v>
      </c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65"/>
      <c r="AQ1046" s="65"/>
      <c r="AR1046" s="65"/>
      <c r="AS1046" s="65"/>
      <c r="AT1046" s="65"/>
      <c r="AU1046" s="65"/>
      <c r="AV1046" s="65"/>
      <c r="AW1046" s="65"/>
      <c r="AX1046" s="65"/>
      <c r="AY1046" s="65"/>
      <c r="AZ1046" s="65"/>
      <c r="BA1046" s="65"/>
      <c r="BB1046" s="65"/>
      <c r="BC1046" s="65"/>
      <c r="BD1046" s="65"/>
      <c r="BE1046" s="66"/>
    </row>
    <row r="1047" spans="1:57" s="48" customFormat="1" x14ac:dyDescent="0.2">
      <c r="A1047" s="698"/>
      <c r="B1047" s="735"/>
      <c r="C1047" s="648"/>
      <c r="D1047" s="46">
        <v>2026</v>
      </c>
      <c r="E1047" s="188">
        <f>E1050</f>
        <v>0.5</v>
      </c>
      <c r="F1047" s="188">
        <f>F1050</f>
        <v>0.5</v>
      </c>
      <c r="G1047" s="188">
        <v>0</v>
      </c>
      <c r="H1047" s="188">
        <v>0</v>
      </c>
      <c r="I1047" s="188">
        <v>0</v>
      </c>
      <c r="J1047" s="188">
        <v>0</v>
      </c>
      <c r="K1047" s="261">
        <f t="shared" si="405"/>
        <v>0.5</v>
      </c>
      <c r="L1047" s="53"/>
      <c r="M1047" s="50"/>
      <c r="N1047" s="51"/>
      <c r="O1047" s="700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/>
      <c r="BB1047" s="65"/>
      <c r="BC1047" s="65"/>
      <c r="BD1047" s="65"/>
      <c r="BE1047" s="66"/>
    </row>
    <row r="1048" spans="1:57" s="48" customFormat="1" x14ac:dyDescent="0.2">
      <c r="A1048" s="698"/>
      <c r="B1048" s="735"/>
      <c r="C1048" s="648"/>
      <c r="D1048" s="46">
        <v>2027</v>
      </c>
      <c r="E1048" s="188">
        <f>E1051</f>
        <v>0.5</v>
      </c>
      <c r="F1048" s="188">
        <f t="shared" ref="F1048:J1049" si="411">F1051</f>
        <v>0.5</v>
      </c>
      <c r="G1048" s="188">
        <f t="shared" si="411"/>
        <v>0</v>
      </c>
      <c r="H1048" s="188">
        <f t="shared" si="411"/>
        <v>0</v>
      </c>
      <c r="I1048" s="188">
        <f t="shared" si="411"/>
        <v>0</v>
      </c>
      <c r="J1048" s="188">
        <f t="shared" si="411"/>
        <v>0</v>
      </c>
      <c r="K1048" s="261">
        <f t="shared" si="405"/>
        <v>0.5</v>
      </c>
      <c r="L1048" s="53"/>
      <c r="M1048" s="50"/>
      <c r="N1048" s="51"/>
      <c r="O1048" s="700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5"/>
      <c r="AW1048" s="65"/>
      <c r="AX1048" s="65"/>
      <c r="AY1048" s="65"/>
      <c r="AZ1048" s="65"/>
      <c r="BA1048" s="65"/>
      <c r="BB1048" s="65"/>
      <c r="BC1048" s="65"/>
      <c r="BD1048" s="65"/>
      <c r="BE1048" s="66"/>
    </row>
    <row r="1049" spans="1:57" s="48" customFormat="1" ht="29.25" customHeight="1" x14ac:dyDescent="0.2">
      <c r="A1049" s="698"/>
      <c r="B1049" s="735"/>
      <c r="C1049" s="648"/>
      <c r="D1049" s="46">
        <v>2028</v>
      </c>
      <c r="E1049" s="188">
        <f>E1052</f>
        <v>0.5</v>
      </c>
      <c r="F1049" s="188">
        <f t="shared" si="411"/>
        <v>0.5</v>
      </c>
      <c r="G1049" s="188">
        <f t="shared" si="411"/>
        <v>0</v>
      </c>
      <c r="H1049" s="188">
        <f t="shared" si="411"/>
        <v>0</v>
      </c>
      <c r="I1049" s="188">
        <f t="shared" si="411"/>
        <v>0</v>
      </c>
      <c r="J1049" s="188">
        <f t="shared" si="411"/>
        <v>0</v>
      </c>
      <c r="K1049" s="261">
        <f t="shared" si="405"/>
        <v>0.5</v>
      </c>
      <c r="L1049" s="53"/>
      <c r="M1049" s="50"/>
      <c r="N1049" s="51"/>
      <c r="O1049" s="700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6"/>
    </row>
    <row r="1050" spans="1:57" s="48" customFormat="1" ht="23.25" customHeight="1" x14ac:dyDescent="0.2">
      <c r="A1050" s="168" t="s">
        <v>709</v>
      </c>
      <c r="B1050" s="207" t="s">
        <v>496</v>
      </c>
      <c r="C1050" s="648"/>
      <c r="D1050" s="189">
        <v>2026</v>
      </c>
      <c r="E1050" s="188">
        <f t="shared" ref="E1050:E1052" si="412">F1050+G1050+H1050+I1050+J1050</f>
        <v>0.5</v>
      </c>
      <c r="F1050" s="188">
        <v>0.5</v>
      </c>
      <c r="G1050" s="188">
        <v>0</v>
      </c>
      <c r="H1050" s="188">
        <v>0</v>
      </c>
      <c r="I1050" s="188">
        <v>0</v>
      </c>
      <c r="J1050" s="188">
        <v>0</v>
      </c>
      <c r="K1050" s="261">
        <f t="shared" si="405"/>
        <v>0.5</v>
      </c>
      <c r="L1050" s="53"/>
      <c r="M1050" s="50"/>
      <c r="N1050" s="51"/>
      <c r="O1050" s="701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6"/>
    </row>
    <row r="1051" spans="1:57" s="48" customFormat="1" ht="23.25" customHeight="1" x14ac:dyDescent="0.2">
      <c r="A1051" s="168" t="s">
        <v>710</v>
      </c>
      <c r="B1051" s="207" t="s">
        <v>497</v>
      </c>
      <c r="C1051" s="648"/>
      <c r="D1051" s="189">
        <v>2027</v>
      </c>
      <c r="E1051" s="188">
        <f t="shared" si="412"/>
        <v>0.5</v>
      </c>
      <c r="F1051" s="188">
        <v>0.5</v>
      </c>
      <c r="G1051" s="188">
        <v>0</v>
      </c>
      <c r="H1051" s="188">
        <v>0</v>
      </c>
      <c r="I1051" s="188">
        <v>0</v>
      </c>
      <c r="J1051" s="188">
        <v>0</v>
      </c>
      <c r="K1051" s="261">
        <f t="shared" si="405"/>
        <v>0.5</v>
      </c>
      <c r="L1051" s="53"/>
      <c r="M1051" s="50"/>
      <c r="N1051" s="51"/>
      <c r="O1051" s="701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65"/>
      <c r="AQ1051" s="65"/>
      <c r="AR1051" s="65"/>
      <c r="AS1051" s="65"/>
      <c r="AT1051" s="65"/>
      <c r="AU1051" s="65"/>
      <c r="AV1051" s="65"/>
      <c r="AW1051" s="65"/>
      <c r="AX1051" s="65"/>
      <c r="AY1051" s="65"/>
      <c r="AZ1051" s="65"/>
      <c r="BA1051" s="65"/>
      <c r="BB1051" s="65"/>
      <c r="BC1051" s="65"/>
      <c r="BD1051" s="65"/>
      <c r="BE1051" s="66"/>
    </row>
    <row r="1052" spans="1:57" s="48" customFormat="1" ht="23.25" customHeight="1" x14ac:dyDescent="0.2">
      <c r="A1052" s="168" t="s">
        <v>711</v>
      </c>
      <c r="B1052" s="207" t="s">
        <v>498</v>
      </c>
      <c r="C1052" s="632"/>
      <c r="D1052" s="189">
        <v>2028</v>
      </c>
      <c r="E1052" s="188">
        <f t="shared" si="412"/>
        <v>0.5</v>
      </c>
      <c r="F1052" s="188">
        <v>0.5</v>
      </c>
      <c r="G1052" s="188">
        <v>0</v>
      </c>
      <c r="H1052" s="188">
        <v>0</v>
      </c>
      <c r="I1052" s="188">
        <v>0</v>
      </c>
      <c r="J1052" s="188">
        <v>0</v>
      </c>
      <c r="K1052" s="261">
        <f t="shared" si="405"/>
        <v>0.5</v>
      </c>
      <c r="L1052" s="53"/>
      <c r="M1052" s="50"/>
      <c r="N1052" s="51"/>
      <c r="O1052" s="701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65"/>
      <c r="AQ1052" s="65"/>
      <c r="AR1052" s="65"/>
      <c r="AS1052" s="65"/>
      <c r="AT1052" s="65"/>
      <c r="AU1052" s="65"/>
      <c r="AV1052" s="65"/>
      <c r="AW1052" s="65"/>
      <c r="AX1052" s="65"/>
      <c r="AY1052" s="65"/>
      <c r="AZ1052" s="65"/>
      <c r="BA1052" s="65"/>
      <c r="BB1052" s="65"/>
      <c r="BC1052" s="65"/>
      <c r="BD1052" s="65"/>
      <c r="BE1052" s="66"/>
    </row>
    <row r="1053" spans="1:57" s="48" customFormat="1" ht="21" customHeight="1" x14ac:dyDescent="0.2">
      <c r="A1053" s="703" t="s">
        <v>712</v>
      </c>
      <c r="B1053" s="705" t="s">
        <v>512</v>
      </c>
      <c r="C1053" s="631" t="s">
        <v>402</v>
      </c>
      <c r="D1053" s="46" t="s">
        <v>513</v>
      </c>
      <c r="E1053" s="47">
        <f>E1054+E1055+E1056+E1057+E1058+E1059+E1060+E1061+E1062+E1063+E1064+E1065</f>
        <v>1.5979116415180803</v>
      </c>
      <c r="F1053" s="47">
        <f t="shared" ref="F1053:J1053" si="413">F1054+F1055+F1056+F1057+F1058+F1059+F1060+F1061+F1062+F1063+F1064+F1065</f>
        <v>1.5979116415180803</v>
      </c>
      <c r="G1053" s="47">
        <f t="shared" si="413"/>
        <v>0</v>
      </c>
      <c r="H1053" s="47">
        <f t="shared" si="413"/>
        <v>0</v>
      </c>
      <c r="I1053" s="47">
        <f t="shared" si="413"/>
        <v>0</v>
      </c>
      <c r="J1053" s="47">
        <f t="shared" si="413"/>
        <v>0</v>
      </c>
      <c r="K1053" s="261">
        <f t="shared" si="405"/>
        <v>1.5979116415180803</v>
      </c>
      <c r="L1053" s="53"/>
      <c r="M1053" s="50"/>
      <c r="N1053" s="51"/>
      <c r="O1053" s="701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5"/>
      <c r="AW1053" s="65"/>
      <c r="AX1053" s="65"/>
      <c r="AY1053" s="65"/>
      <c r="AZ1053" s="65"/>
      <c r="BA1053" s="65"/>
      <c r="BB1053" s="65"/>
      <c r="BC1053" s="65"/>
      <c r="BD1053" s="65"/>
      <c r="BE1053" s="66"/>
    </row>
    <row r="1054" spans="1:57" s="330" customFormat="1" x14ac:dyDescent="0.2">
      <c r="A1054" s="704"/>
      <c r="B1054" s="706"/>
      <c r="C1054" s="648"/>
      <c r="D1054" s="331">
        <v>2019</v>
      </c>
      <c r="E1054" s="332">
        <f t="shared" ref="E1054:E1059" si="414">F1054+G1054+H1054+I1054+J1054</f>
        <v>0.05</v>
      </c>
      <c r="F1054" s="332">
        <v>0.05</v>
      </c>
      <c r="G1054" s="332">
        <v>0</v>
      </c>
      <c r="H1054" s="332">
        <v>0</v>
      </c>
      <c r="I1054" s="332">
        <v>0</v>
      </c>
      <c r="J1054" s="332">
        <v>0</v>
      </c>
      <c r="K1054" s="325">
        <f t="shared" si="405"/>
        <v>0.05</v>
      </c>
      <c r="L1054" s="372"/>
      <c r="M1054" s="326"/>
      <c r="N1054" s="327"/>
      <c r="O1054" s="701"/>
      <c r="P1054" s="328"/>
      <c r="Q1054" s="328"/>
      <c r="R1054" s="328"/>
      <c r="S1054" s="328"/>
      <c r="T1054" s="328"/>
      <c r="U1054" s="328"/>
      <c r="V1054" s="328"/>
      <c r="W1054" s="328"/>
      <c r="X1054" s="328"/>
      <c r="Y1054" s="328"/>
      <c r="Z1054" s="328"/>
      <c r="AA1054" s="328"/>
      <c r="AB1054" s="328"/>
      <c r="AC1054" s="328"/>
      <c r="AD1054" s="328"/>
      <c r="AE1054" s="328"/>
      <c r="AF1054" s="328"/>
      <c r="AG1054" s="328"/>
      <c r="AH1054" s="328"/>
      <c r="AI1054" s="328"/>
      <c r="AJ1054" s="328"/>
      <c r="AK1054" s="328"/>
      <c r="AL1054" s="328"/>
      <c r="AM1054" s="328"/>
      <c r="AN1054" s="328"/>
      <c r="AO1054" s="328"/>
      <c r="AP1054" s="328"/>
      <c r="AQ1054" s="328"/>
      <c r="AR1054" s="328"/>
      <c r="AS1054" s="328"/>
      <c r="AT1054" s="328"/>
      <c r="AU1054" s="328"/>
      <c r="AV1054" s="328"/>
      <c r="AW1054" s="328"/>
      <c r="AX1054" s="328"/>
      <c r="AY1054" s="328"/>
      <c r="AZ1054" s="328"/>
      <c r="BA1054" s="328"/>
      <c r="BB1054" s="328"/>
      <c r="BC1054" s="328"/>
      <c r="BD1054" s="328"/>
      <c r="BE1054" s="329"/>
    </row>
    <row r="1055" spans="1:57" s="48" customFormat="1" x14ac:dyDescent="0.2">
      <c r="A1055" s="704"/>
      <c r="B1055" s="706"/>
      <c r="C1055" s="648"/>
      <c r="D1055" s="189">
        <v>2020</v>
      </c>
      <c r="E1055" s="188">
        <f t="shared" si="414"/>
        <v>0</v>
      </c>
      <c r="F1055" s="188">
        <v>0</v>
      </c>
      <c r="G1055" s="188">
        <v>0</v>
      </c>
      <c r="H1055" s="188">
        <v>0</v>
      </c>
      <c r="I1055" s="188">
        <v>0</v>
      </c>
      <c r="J1055" s="188">
        <v>0</v>
      </c>
      <c r="K1055" s="261">
        <f t="shared" si="405"/>
        <v>0</v>
      </c>
      <c r="L1055" s="53"/>
      <c r="M1055" s="50"/>
      <c r="N1055" s="51"/>
      <c r="O1055" s="701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65"/>
      <c r="AQ1055" s="65"/>
      <c r="AR1055" s="65"/>
      <c r="AS1055" s="65"/>
      <c r="AT1055" s="65"/>
      <c r="AU1055" s="65"/>
      <c r="AV1055" s="65"/>
      <c r="AW1055" s="65"/>
      <c r="AX1055" s="65"/>
      <c r="AY1055" s="65"/>
      <c r="AZ1055" s="65"/>
      <c r="BA1055" s="65"/>
      <c r="BB1055" s="65"/>
      <c r="BC1055" s="65"/>
      <c r="BD1055" s="65"/>
      <c r="BE1055" s="66"/>
    </row>
    <row r="1056" spans="1:57" s="48" customFormat="1" x14ac:dyDescent="0.2">
      <c r="A1056" s="704"/>
      <c r="B1056" s="706"/>
      <c r="C1056" s="648"/>
      <c r="D1056" s="189">
        <v>2021</v>
      </c>
      <c r="E1056" s="188">
        <f t="shared" si="414"/>
        <v>0</v>
      </c>
      <c r="F1056" s="188">
        <v>0</v>
      </c>
      <c r="G1056" s="188">
        <v>0</v>
      </c>
      <c r="H1056" s="188">
        <v>0</v>
      </c>
      <c r="I1056" s="188">
        <v>0</v>
      </c>
      <c r="J1056" s="188">
        <v>0</v>
      </c>
      <c r="K1056" s="261">
        <f t="shared" si="405"/>
        <v>0</v>
      </c>
      <c r="L1056" s="53"/>
      <c r="M1056" s="50"/>
      <c r="N1056" s="51"/>
      <c r="O1056" s="701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65"/>
      <c r="AQ1056" s="65"/>
      <c r="AR1056" s="65"/>
      <c r="AS1056" s="65"/>
      <c r="AT1056" s="65"/>
      <c r="AU1056" s="65"/>
      <c r="AV1056" s="65"/>
      <c r="AW1056" s="65"/>
      <c r="AX1056" s="65"/>
      <c r="AY1056" s="65"/>
      <c r="AZ1056" s="65"/>
      <c r="BA1056" s="65"/>
      <c r="BB1056" s="65"/>
      <c r="BC1056" s="65"/>
      <c r="BD1056" s="65"/>
      <c r="BE1056" s="66"/>
    </row>
    <row r="1057" spans="1:57" s="48" customFormat="1" x14ac:dyDescent="0.2">
      <c r="A1057" s="704"/>
      <c r="B1057" s="706"/>
      <c r="C1057" s="648"/>
      <c r="D1057" s="189">
        <v>2022</v>
      </c>
      <c r="E1057" s="188">
        <f t="shared" si="414"/>
        <v>0</v>
      </c>
      <c r="F1057" s="188">
        <v>0</v>
      </c>
      <c r="G1057" s="188">
        <v>0</v>
      </c>
      <c r="H1057" s="188">
        <v>0</v>
      </c>
      <c r="I1057" s="188">
        <v>0</v>
      </c>
      <c r="J1057" s="188">
        <v>0</v>
      </c>
      <c r="K1057" s="261">
        <f t="shared" si="405"/>
        <v>0</v>
      </c>
      <c r="L1057" s="53"/>
      <c r="M1057" s="50"/>
      <c r="N1057" s="51"/>
      <c r="O1057" s="701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6"/>
    </row>
    <row r="1058" spans="1:57" s="48" customFormat="1" x14ac:dyDescent="0.2">
      <c r="A1058" s="704"/>
      <c r="B1058" s="706"/>
      <c r="C1058" s="648"/>
      <c r="D1058" s="189">
        <v>2023</v>
      </c>
      <c r="E1058" s="188">
        <f t="shared" si="414"/>
        <v>0.16800000000000001</v>
      </c>
      <c r="F1058" s="188">
        <v>0.16800000000000001</v>
      </c>
      <c r="G1058" s="188">
        <v>0</v>
      </c>
      <c r="H1058" s="188">
        <v>0</v>
      </c>
      <c r="I1058" s="188">
        <v>0</v>
      </c>
      <c r="J1058" s="188">
        <v>0</v>
      </c>
      <c r="K1058" s="261">
        <f t="shared" si="405"/>
        <v>0.16800000000000001</v>
      </c>
      <c r="L1058" s="53"/>
      <c r="M1058" s="50"/>
      <c r="N1058" s="51"/>
      <c r="O1058" s="701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65"/>
      <c r="AQ1058" s="65"/>
      <c r="AR1058" s="65"/>
      <c r="AS1058" s="65"/>
      <c r="AT1058" s="65"/>
      <c r="AU1058" s="65"/>
      <c r="AV1058" s="65"/>
      <c r="AW1058" s="65"/>
      <c r="AX1058" s="65"/>
      <c r="AY1058" s="65"/>
      <c r="AZ1058" s="65"/>
      <c r="BA1058" s="65"/>
      <c r="BB1058" s="65"/>
      <c r="BC1058" s="65"/>
      <c r="BD1058" s="65"/>
      <c r="BE1058" s="66"/>
    </row>
    <row r="1059" spans="1:57" s="48" customFormat="1" x14ac:dyDescent="0.2">
      <c r="A1059" s="704"/>
      <c r="B1059" s="706"/>
      <c r="C1059" s="648"/>
      <c r="D1059" s="189">
        <v>2024</v>
      </c>
      <c r="E1059" s="188">
        <f t="shared" si="414"/>
        <v>0.17469999999999999</v>
      </c>
      <c r="F1059" s="188">
        <v>0.17469999999999999</v>
      </c>
      <c r="G1059" s="188">
        <v>0</v>
      </c>
      <c r="H1059" s="188">
        <v>0</v>
      </c>
      <c r="I1059" s="188">
        <v>0</v>
      </c>
      <c r="J1059" s="188">
        <v>0</v>
      </c>
      <c r="K1059" s="261">
        <f t="shared" si="405"/>
        <v>0.17469999999999999</v>
      </c>
      <c r="L1059" s="53"/>
      <c r="M1059" s="50"/>
      <c r="N1059" s="51"/>
      <c r="O1059" s="701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  <c r="AF1059" s="65"/>
      <c r="AG1059" s="65"/>
      <c r="AH1059" s="65"/>
      <c r="AI1059" s="65"/>
      <c r="AJ1059" s="65"/>
      <c r="AK1059" s="65"/>
      <c r="AL1059" s="65"/>
      <c r="AM1059" s="65"/>
      <c r="AN1059" s="65"/>
      <c r="AO1059" s="65"/>
      <c r="AP1059" s="65"/>
      <c r="AQ1059" s="65"/>
      <c r="AR1059" s="65"/>
      <c r="AS1059" s="65"/>
      <c r="AT1059" s="65"/>
      <c r="AU1059" s="65"/>
      <c r="AV1059" s="65"/>
      <c r="AW1059" s="65"/>
      <c r="AX1059" s="65"/>
      <c r="AY1059" s="65"/>
      <c r="AZ1059" s="65"/>
      <c r="BA1059" s="65"/>
      <c r="BB1059" s="65"/>
      <c r="BC1059" s="65"/>
      <c r="BD1059" s="65"/>
      <c r="BE1059" s="66"/>
    </row>
    <row r="1060" spans="1:57" s="48" customFormat="1" x14ac:dyDescent="0.2">
      <c r="A1060" s="704"/>
      <c r="B1060" s="706"/>
      <c r="C1060" s="632"/>
      <c r="D1060" s="189">
        <v>2025</v>
      </c>
      <c r="E1060" s="188">
        <f>F1060+G1060+H1060+I1060+J1060</f>
        <v>0.1817</v>
      </c>
      <c r="F1060" s="188">
        <v>0.1817</v>
      </c>
      <c r="G1060" s="188">
        <v>0</v>
      </c>
      <c r="H1060" s="188">
        <v>0</v>
      </c>
      <c r="I1060" s="188">
        <v>0</v>
      </c>
      <c r="J1060" s="188">
        <v>0</v>
      </c>
      <c r="K1060" s="261">
        <f t="shared" si="405"/>
        <v>0.1817</v>
      </c>
      <c r="L1060" s="53"/>
      <c r="M1060" s="50"/>
      <c r="N1060" s="51"/>
      <c r="O1060" s="701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65"/>
      <c r="AQ1060" s="65"/>
      <c r="AR1060" s="65"/>
      <c r="AS1060" s="65"/>
      <c r="AT1060" s="65"/>
      <c r="AU1060" s="65"/>
      <c r="AV1060" s="65"/>
      <c r="AW1060" s="65"/>
      <c r="AX1060" s="65"/>
      <c r="AY1060" s="65"/>
      <c r="AZ1060" s="65"/>
      <c r="BA1060" s="65"/>
      <c r="BB1060" s="65"/>
      <c r="BC1060" s="65"/>
      <c r="BD1060" s="65"/>
      <c r="BE1060" s="66"/>
    </row>
    <row r="1061" spans="1:57" s="48" customFormat="1" ht="12.75" customHeight="1" x14ac:dyDescent="0.2">
      <c r="A1061" s="156"/>
      <c r="B1061" s="155"/>
      <c r="C1061" s="631" t="s">
        <v>979</v>
      </c>
      <c r="D1061" s="189">
        <v>2026</v>
      </c>
      <c r="E1061" s="188">
        <f t="shared" ref="E1061:E1065" si="415">F1061+G1061+H1061+I1061+J1061</f>
        <v>0.188968</v>
      </c>
      <c r="F1061" s="188">
        <f>F1060*1.04</f>
        <v>0.188968</v>
      </c>
      <c r="G1061" s="188">
        <f t="shared" ref="G1061:J1065" si="416">G1060*1.04</f>
        <v>0</v>
      </c>
      <c r="H1061" s="188">
        <f t="shared" si="416"/>
        <v>0</v>
      </c>
      <c r="I1061" s="188">
        <f t="shared" si="416"/>
        <v>0</v>
      </c>
      <c r="J1061" s="188">
        <f t="shared" si="416"/>
        <v>0</v>
      </c>
      <c r="K1061" s="261">
        <f t="shared" si="405"/>
        <v>0.188968</v>
      </c>
      <c r="L1061" s="53"/>
      <c r="M1061" s="50"/>
      <c r="N1061" s="51"/>
      <c r="O1061" s="701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  <c r="AF1061" s="65"/>
      <c r="AG1061" s="65"/>
      <c r="AH1061" s="65"/>
      <c r="AI1061" s="65"/>
      <c r="AJ1061" s="65"/>
      <c r="AK1061" s="65"/>
      <c r="AL1061" s="65"/>
      <c r="AM1061" s="65"/>
      <c r="AN1061" s="65"/>
      <c r="AO1061" s="65"/>
      <c r="AP1061" s="65"/>
      <c r="AQ1061" s="65"/>
      <c r="AR1061" s="65"/>
      <c r="AS1061" s="65"/>
      <c r="AT1061" s="65"/>
      <c r="AU1061" s="65"/>
      <c r="AV1061" s="65"/>
      <c r="AW1061" s="65"/>
      <c r="AX1061" s="65"/>
      <c r="AY1061" s="65"/>
      <c r="AZ1061" s="65"/>
      <c r="BA1061" s="65"/>
      <c r="BB1061" s="65"/>
      <c r="BC1061" s="65"/>
      <c r="BD1061" s="65"/>
      <c r="BE1061" s="66"/>
    </row>
    <row r="1062" spans="1:57" s="48" customFormat="1" x14ac:dyDescent="0.2">
      <c r="A1062" s="156"/>
      <c r="B1062" s="155"/>
      <c r="C1062" s="648"/>
      <c r="D1062" s="189">
        <v>2027</v>
      </c>
      <c r="E1062" s="188">
        <f t="shared" si="415"/>
        <v>0.19652672000000002</v>
      </c>
      <c r="F1062" s="188">
        <f>F1061*1.04</f>
        <v>0.19652672000000002</v>
      </c>
      <c r="G1062" s="188">
        <f t="shared" si="416"/>
        <v>0</v>
      </c>
      <c r="H1062" s="188">
        <f t="shared" si="416"/>
        <v>0</v>
      </c>
      <c r="I1062" s="188">
        <f t="shared" si="416"/>
        <v>0</v>
      </c>
      <c r="J1062" s="188">
        <f t="shared" si="416"/>
        <v>0</v>
      </c>
      <c r="K1062" s="261">
        <f t="shared" si="405"/>
        <v>0.19652672000000002</v>
      </c>
      <c r="L1062" s="53"/>
      <c r="M1062" s="50"/>
      <c r="N1062" s="51"/>
      <c r="O1062" s="701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  <c r="AF1062" s="65"/>
      <c r="AG1062" s="65"/>
      <c r="AH1062" s="65"/>
      <c r="AI1062" s="65"/>
      <c r="AJ1062" s="65"/>
      <c r="AK1062" s="65"/>
      <c r="AL1062" s="65"/>
      <c r="AM1062" s="65"/>
      <c r="AN1062" s="65"/>
      <c r="AO1062" s="65"/>
      <c r="AP1062" s="65"/>
      <c r="AQ1062" s="65"/>
      <c r="AR1062" s="65"/>
      <c r="AS1062" s="65"/>
      <c r="AT1062" s="65"/>
      <c r="AU1062" s="65"/>
      <c r="AV1062" s="65"/>
      <c r="AW1062" s="65"/>
      <c r="AX1062" s="65"/>
      <c r="AY1062" s="65"/>
      <c r="AZ1062" s="65"/>
      <c r="BA1062" s="65"/>
      <c r="BB1062" s="65"/>
      <c r="BC1062" s="65"/>
      <c r="BD1062" s="65"/>
      <c r="BE1062" s="66"/>
    </row>
    <row r="1063" spans="1:57" s="48" customFormat="1" x14ac:dyDescent="0.2">
      <c r="A1063" s="156"/>
      <c r="B1063" s="155"/>
      <c r="C1063" s="648"/>
      <c r="D1063" s="189">
        <v>2028</v>
      </c>
      <c r="E1063" s="188">
        <f t="shared" si="415"/>
        <v>0.20438778880000003</v>
      </c>
      <c r="F1063" s="188">
        <f>F1062*1.04</f>
        <v>0.20438778880000003</v>
      </c>
      <c r="G1063" s="188">
        <f t="shared" si="416"/>
        <v>0</v>
      </c>
      <c r="H1063" s="188">
        <f t="shared" si="416"/>
        <v>0</v>
      </c>
      <c r="I1063" s="188">
        <f t="shared" si="416"/>
        <v>0</v>
      </c>
      <c r="J1063" s="188">
        <f t="shared" si="416"/>
        <v>0</v>
      </c>
      <c r="K1063" s="261">
        <f t="shared" si="405"/>
        <v>0.20438778880000003</v>
      </c>
      <c r="L1063" s="53"/>
      <c r="M1063" s="50"/>
      <c r="N1063" s="51"/>
      <c r="O1063" s="701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  <c r="AF1063" s="65"/>
      <c r="AG1063" s="65"/>
      <c r="AH1063" s="65"/>
      <c r="AI1063" s="65"/>
      <c r="AJ1063" s="65"/>
      <c r="AK1063" s="65"/>
      <c r="AL1063" s="65"/>
      <c r="AM1063" s="65"/>
      <c r="AN1063" s="65"/>
      <c r="AO1063" s="65"/>
      <c r="AP1063" s="65"/>
      <c r="AQ1063" s="65"/>
      <c r="AR1063" s="65"/>
      <c r="AS1063" s="65"/>
      <c r="AT1063" s="65"/>
      <c r="AU1063" s="65"/>
      <c r="AV1063" s="65"/>
      <c r="AW1063" s="65"/>
      <c r="AX1063" s="65"/>
      <c r="AY1063" s="65"/>
      <c r="AZ1063" s="65"/>
      <c r="BA1063" s="65"/>
      <c r="BB1063" s="65"/>
      <c r="BC1063" s="65"/>
      <c r="BD1063" s="65"/>
      <c r="BE1063" s="66"/>
    </row>
    <row r="1064" spans="1:57" s="48" customFormat="1" x14ac:dyDescent="0.2">
      <c r="A1064" s="156"/>
      <c r="B1064" s="155"/>
      <c r="C1064" s="648"/>
      <c r="D1064" s="189">
        <v>2029</v>
      </c>
      <c r="E1064" s="188">
        <f t="shared" si="415"/>
        <v>0.21256330035200002</v>
      </c>
      <c r="F1064" s="188">
        <f>F1063*1.04</f>
        <v>0.21256330035200002</v>
      </c>
      <c r="G1064" s="188">
        <f t="shared" si="416"/>
        <v>0</v>
      </c>
      <c r="H1064" s="188">
        <f t="shared" si="416"/>
        <v>0</v>
      </c>
      <c r="I1064" s="188">
        <f t="shared" si="416"/>
        <v>0</v>
      </c>
      <c r="J1064" s="188">
        <f t="shared" si="416"/>
        <v>0</v>
      </c>
      <c r="K1064" s="261">
        <f t="shared" si="405"/>
        <v>0.21256330035200002</v>
      </c>
      <c r="L1064" s="53"/>
      <c r="M1064" s="50"/>
      <c r="N1064" s="51"/>
      <c r="O1064" s="701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  <c r="AF1064" s="65"/>
      <c r="AG1064" s="65"/>
      <c r="AH1064" s="65"/>
      <c r="AI1064" s="65"/>
      <c r="AJ1064" s="65"/>
      <c r="AK1064" s="65"/>
      <c r="AL1064" s="65"/>
      <c r="AM1064" s="65"/>
      <c r="AN1064" s="65"/>
      <c r="AO1064" s="65"/>
      <c r="AP1064" s="65"/>
      <c r="AQ1064" s="65"/>
      <c r="AR1064" s="65"/>
      <c r="AS1064" s="65"/>
      <c r="AT1064" s="65"/>
      <c r="AU1064" s="65"/>
      <c r="AV1064" s="65"/>
      <c r="AW1064" s="65"/>
      <c r="AX1064" s="65"/>
      <c r="AY1064" s="65"/>
      <c r="AZ1064" s="65"/>
      <c r="BA1064" s="65"/>
      <c r="BB1064" s="65"/>
      <c r="BC1064" s="65"/>
      <c r="BD1064" s="65"/>
      <c r="BE1064" s="66"/>
    </row>
    <row r="1065" spans="1:57" s="48" customFormat="1" x14ac:dyDescent="0.2">
      <c r="A1065" s="156"/>
      <c r="B1065" s="155"/>
      <c r="C1065" s="648"/>
      <c r="D1065" s="189">
        <v>2030</v>
      </c>
      <c r="E1065" s="188">
        <f t="shared" si="415"/>
        <v>0.22106583236608005</v>
      </c>
      <c r="F1065" s="188">
        <f>F1064*1.04</f>
        <v>0.22106583236608005</v>
      </c>
      <c r="G1065" s="188">
        <f t="shared" si="416"/>
        <v>0</v>
      </c>
      <c r="H1065" s="188">
        <f t="shared" si="416"/>
        <v>0</v>
      </c>
      <c r="I1065" s="188">
        <f t="shared" si="416"/>
        <v>0</v>
      </c>
      <c r="J1065" s="188">
        <f t="shared" si="416"/>
        <v>0</v>
      </c>
      <c r="K1065" s="261">
        <f t="shared" si="405"/>
        <v>0.22106583236608005</v>
      </c>
      <c r="L1065" s="53"/>
      <c r="M1065" s="50"/>
      <c r="N1065" s="51"/>
      <c r="O1065" s="701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  <c r="AC1065" s="65"/>
      <c r="AD1065" s="65"/>
      <c r="AE1065" s="65"/>
      <c r="AF1065" s="65"/>
      <c r="AG1065" s="65"/>
      <c r="AH1065" s="65"/>
      <c r="AI1065" s="65"/>
      <c r="AJ1065" s="65"/>
      <c r="AK1065" s="65"/>
      <c r="AL1065" s="65"/>
      <c r="AM1065" s="65"/>
      <c r="AN1065" s="65"/>
      <c r="AO1065" s="65"/>
      <c r="AP1065" s="65"/>
      <c r="AQ1065" s="65"/>
      <c r="AR1065" s="65"/>
      <c r="AS1065" s="65"/>
      <c r="AT1065" s="65"/>
      <c r="AU1065" s="65"/>
      <c r="AV1065" s="65"/>
      <c r="AW1065" s="65"/>
      <c r="AX1065" s="65"/>
      <c r="AY1065" s="65"/>
      <c r="AZ1065" s="65"/>
      <c r="BA1065" s="65"/>
      <c r="BB1065" s="65"/>
      <c r="BC1065" s="65"/>
      <c r="BD1065" s="65"/>
      <c r="BE1065" s="66"/>
    </row>
    <row r="1066" spans="1:57" s="48" customFormat="1" ht="12.75" customHeight="1" x14ac:dyDescent="0.2">
      <c r="A1066" s="675" t="s">
        <v>767</v>
      </c>
      <c r="B1066" s="707" t="s">
        <v>562</v>
      </c>
      <c r="C1066" s="631" t="s">
        <v>979</v>
      </c>
      <c r="D1066" s="46" t="s">
        <v>198</v>
      </c>
      <c r="E1066" s="188">
        <f>E1067+E1068+E1069+E1070</f>
        <v>6</v>
      </c>
      <c r="F1066" s="188">
        <f t="shared" ref="F1066:J1066" si="417">F1067+F1068+F1069+F1070</f>
        <v>6</v>
      </c>
      <c r="G1066" s="188">
        <f t="shared" si="417"/>
        <v>0</v>
      </c>
      <c r="H1066" s="188">
        <f t="shared" si="417"/>
        <v>0</v>
      </c>
      <c r="I1066" s="188">
        <f t="shared" si="417"/>
        <v>0</v>
      </c>
      <c r="J1066" s="188">
        <f t="shared" si="417"/>
        <v>0</v>
      </c>
      <c r="K1066" s="261">
        <f t="shared" si="405"/>
        <v>6</v>
      </c>
      <c r="L1066" s="53"/>
      <c r="M1066" s="50"/>
      <c r="N1066" s="51"/>
      <c r="O1066" s="701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  <c r="AC1066" s="65"/>
      <c r="AD1066" s="65"/>
      <c r="AE1066" s="65"/>
      <c r="AF1066" s="65"/>
      <c r="AG1066" s="65"/>
      <c r="AH1066" s="65"/>
      <c r="AI1066" s="65"/>
      <c r="AJ1066" s="65"/>
      <c r="AK1066" s="65"/>
      <c r="AL1066" s="65"/>
      <c r="AM1066" s="65"/>
      <c r="AN1066" s="65"/>
      <c r="AO1066" s="65"/>
      <c r="AP1066" s="65"/>
      <c r="AQ1066" s="65"/>
      <c r="AR1066" s="65"/>
      <c r="AS1066" s="65"/>
      <c r="AT1066" s="65"/>
      <c r="AU1066" s="65"/>
      <c r="AV1066" s="65"/>
      <c r="AW1066" s="65"/>
      <c r="AX1066" s="65"/>
      <c r="AY1066" s="65"/>
      <c r="AZ1066" s="65"/>
      <c r="BA1066" s="65"/>
      <c r="BB1066" s="65"/>
      <c r="BC1066" s="65"/>
      <c r="BD1066" s="65"/>
      <c r="BE1066" s="66"/>
    </row>
    <row r="1067" spans="1:57" s="48" customFormat="1" x14ac:dyDescent="0.2">
      <c r="A1067" s="676"/>
      <c r="B1067" s="708"/>
      <c r="C1067" s="648"/>
      <c r="D1067" s="189">
        <v>2026</v>
      </c>
      <c r="E1067" s="188">
        <f>E1072</f>
        <v>1.5</v>
      </c>
      <c r="F1067" s="188">
        <f t="shared" ref="F1067:J1067" si="418">F1072</f>
        <v>1.5</v>
      </c>
      <c r="G1067" s="188">
        <f t="shared" si="418"/>
        <v>0</v>
      </c>
      <c r="H1067" s="188">
        <f t="shared" si="418"/>
        <v>0</v>
      </c>
      <c r="I1067" s="188">
        <f t="shared" si="418"/>
        <v>0</v>
      </c>
      <c r="J1067" s="188">
        <f t="shared" si="418"/>
        <v>0</v>
      </c>
      <c r="K1067" s="261">
        <f t="shared" si="405"/>
        <v>1.5</v>
      </c>
      <c r="L1067" s="53"/>
      <c r="M1067" s="50"/>
      <c r="N1067" s="51"/>
      <c r="O1067" s="701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65"/>
      <c r="AQ1067" s="65"/>
      <c r="AR1067" s="65"/>
      <c r="AS1067" s="65"/>
      <c r="AT1067" s="65"/>
      <c r="AU1067" s="65"/>
      <c r="AV1067" s="65"/>
      <c r="AW1067" s="65"/>
      <c r="AX1067" s="65"/>
      <c r="AY1067" s="65"/>
      <c r="AZ1067" s="65"/>
      <c r="BA1067" s="65"/>
      <c r="BB1067" s="65"/>
      <c r="BC1067" s="65"/>
      <c r="BD1067" s="65"/>
      <c r="BE1067" s="66"/>
    </row>
    <row r="1068" spans="1:57" s="48" customFormat="1" x14ac:dyDescent="0.2">
      <c r="A1068" s="676"/>
      <c r="B1068" s="708"/>
      <c r="C1068" s="648"/>
      <c r="D1068" s="60">
        <v>2027</v>
      </c>
      <c r="E1068" s="188">
        <f>E1078</f>
        <v>1.5</v>
      </c>
      <c r="F1068" s="188">
        <f t="shared" ref="F1068:J1068" si="419">F1078</f>
        <v>1.5</v>
      </c>
      <c r="G1068" s="188">
        <f t="shared" si="419"/>
        <v>0</v>
      </c>
      <c r="H1068" s="188">
        <f t="shared" si="419"/>
        <v>0</v>
      </c>
      <c r="I1068" s="188">
        <f t="shared" si="419"/>
        <v>0</v>
      </c>
      <c r="J1068" s="188">
        <f t="shared" si="419"/>
        <v>0</v>
      </c>
      <c r="K1068" s="261">
        <f t="shared" si="405"/>
        <v>1.5</v>
      </c>
      <c r="L1068" s="53"/>
      <c r="M1068" s="50"/>
      <c r="N1068" s="51"/>
      <c r="O1068" s="701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65"/>
      <c r="AQ1068" s="65"/>
      <c r="AR1068" s="65"/>
      <c r="AS1068" s="65"/>
      <c r="AT1068" s="65"/>
      <c r="AU1068" s="65"/>
      <c r="AV1068" s="65"/>
      <c r="AW1068" s="65"/>
      <c r="AX1068" s="65"/>
      <c r="AY1068" s="65"/>
      <c r="AZ1068" s="65"/>
      <c r="BA1068" s="65"/>
      <c r="BB1068" s="65"/>
      <c r="BC1068" s="65"/>
      <c r="BD1068" s="65"/>
      <c r="BE1068" s="66"/>
    </row>
    <row r="1069" spans="1:57" s="48" customFormat="1" x14ac:dyDescent="0.2">
      <c r="A1069" s="676"/>
      <c r="B1069" s="708"/>
      <c r="C1069" s="648"/>
      <c r="D1069" s="189">
        <v>2028</v>
      </c>
      <c r="E1069" s="188">
        <f>E1076</f>
        <v>1.5</v>
      </c>
      <c r="F1069" s="188">
        <f t="shared" ref="F1069:J1069" si="420">F1076</f>
        <v>1.5</v>
      </c>
      <c r="G1069" s="188">
        <f t="shared" si="420"/>
        <v>0</v>
      </c>
      <c r="H1069" s="188">
        <f t="shared" si="420"/>
        <v>0</v>
      </c>
      <c r="I1069" s="188">
        <f t="shared" si="420"/>
        <v>0</v>
      </c>
      <c r="J1069" s="188">
        <f t="shared" si="420"/>
        <v>0</v>
      </c>
      <c r="K1069" s="261">
        <f t="shared" si="405"/>
        <v>1.5</v>
      </c>
      <c r="L1069" s="53"/>
      <c r="M1069" s="50"/>
      <c r="N1069" s="51"/>
      <c r="O1069" s="701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  <c r="AC1069" s="65"/>
      <c r="AD1069" s="65"/>
      <c r="AE1069" s="65"/>
      <c r="AF1069" s="65"/>
      <c r="AG1069" s="65"/>
      <c r="AH1069" s="65"/>
      <c r="AI1069" s="65"/>
      <c r="AJ1069" s="65"/>
      <c r="AK1069" s="65"/>
      <c r="AL1069" s="65"/>
      <c r="AM1069" s="65"/>
      <c r="AN1069" s="65"/>
      <c r="AO1069" s="65"/>
      <c r="AP1069" s="65"/>
      <c r="AQ1069" s="65"/>
      <c r="AR1069" s="65"/>
      <c r="AS1069" s="65"/>
      <c r="AT1069" s="65"/>
      <c r="AU1069" s="65"/>
      <c r="AV1069" s="65"/>
      <c r="AW1069" s="65"/>
      <c r="AX1069" s="65"/>
      <c r="AY1069" s="65"/>
      <c r="AZ1069" s="65"/>
      <c r="BA1069" s="65"/>
      <c r="BB1069" s="65"/>
      <c r="BC1069" s="65"/>
      <c r="BD1069" s="65"/>
      <c r="BE1069" s="66"/>
    </row>
    <row r="1070" spans="1:57" s="48" customFormat="1" x14ac:dyDescent="0.2">
      <c r="A1070" s="677"/>
      <c r="B1070" s="709"/>
      <c r="C1070" s="648"/>
      <c r="D1070" s="189">
        <v>2029</v>
      </c>
      <c r="E1070" s="188">
        <f>E1074</f>
        <v>1.5</v>
      </c>
      <c r="F1070" s="188">
        <f t="shared" ref="F1070:J1070" si="421">F1074</f>
        <v>1.5</v>
      </c>
      <c r="G1070" s="188">
        <f t="shared" si="421"/>
        <v>0</v>
      </c>
      <c r="H1070" s="188">
        <f t="shared" si="421"/>
        <v>0</v>
      </c>
      <c r="I1070" s="188">
        <f t="shared" si="421"/>
        <v>0</v>
      </c>
      <c r="J1070" s="188">
        <f t="shared" si="421"/>
        <v>0</v>
      </c>
      <c r="K1070" s="261">
        <f t="shared" si="405"/>
        <v>1.5</v>
      </c>
      <c r="L1070" s="53"/>
      <c r="M1070" s="50"/>
      <c r="N1070" s="51"/>
      <c r="O1070" s="701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  <c r="AC1070" s="65"/>
      <c r="AD1070" s="65"/>
      <c r="AE1070" s="65"/>
      <c r="AF1070" s="65"/>
      <c r="AG1070" s="65"/>
      <c r="AH1070" s="65"/>
      <c r="AI1070" s="65"/>
      <c r="AJ1070" s="65"/>
      <c r="AK1070" s="65"/>
      <c r="AL1070" s="65"/>
      <c r="AM1070" s="65"/>
      <c r="AN1070" s="65"/>
      <c r="AO1070" s="65"/>
      <c r="AP1070" s="65"/>
      <c r="AQ1070" s="65"/>
      <c r="AR1070" s="65"/>
      <c r="AS1070" s="65"/>
      <c r="AT1070" s="65"/>
      <c r="AU1070" s="65"/>
      <c r="AV1070" s="65"/>
      <c r="AW1070" s="65"/>
      <c r="AX1070" s="65"/>
      <c r="AY1070" s="65"/>
      <c r="AZ1070" s="65"/>
      <c r="BA1070" s="65"/>
      <c r="BB1070" s="65"/>
      <c r="BC1070" s="65"/>
      <c r="BD1070" s="65"/>
      <c r="BE1070" s="66"/>
    </row>
    <row r="1071" spans="1:57" s="48" customFormat="1" x14ac:dyDescent="0.2">
      <c r="A1071" s="675" t="s">
        <v>713</v>
      </c>
      <c r="B1071" s="707" t="s">
        <v>563</v>
      </c>
      <c r="C1071" s="648"/>
      <c r="D1071" s="46" t="s">
        <v>198</v>
      </c>
      <c r="E1071" s="188">
        <f>E1072</f>
        <v>1.5</v>
      </c>
      <c r="F1071" s="188">
        <f t="shared" ref="F1071:J1071" si="422">F1072</f>
        <v>1.5</v>
      </c>
      <c r="G1071" s="188">
        <f t="shared" si="422"/>
        <v>0</v>
      </c>
      <c r="H1071" s="188">
        <f t="shared" si="422"/>
        <v>0</v>
      </c>
      <c r="I1071" s="188">
        <f t="shared" si="422"/>
        <v>0</v>
      </c>
      <c r="J1071" s="188">
        <f t="shared" si="422"/>
        <v>0</v>
      </c>
      <c r="K1071" s="261">
        <f t="shared" si="405"/>
        <v>1.5</v>
      </c>
      <c r="L1071" s="53"/>
      <c r="M1071" s="50"/>
      <c r="N1071" s="51"/>
      <c r="O1071" s="701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  <c r="AE1071" s="65"/>
      <c r="AF1071" s="65"/>
      <c r="AG1071" s="65"/>
      <c r="AH1071" s="65"/>
      <c r="AI1071" s="65"/>
      <c r="AJ1071" s="65"/>
      <c r="AK1071" s="65"/>
      <c r="AL1071" s="65"/>
      <c r="AM1071" s="65"/>
      <c r="AN1071" s="65"/>
      <c r="AO1071" s="65"/>
      <c r="AP1071" s="65"/>
      <c r="AQ1071" s="65"/>
      <c r="AR1071" s="65"/>
      <c r="AS1071" s="65"/>
      <c r="AT1071" s="65"/>
      <c r="AU1071" s="65"/>
      <c r="AV1071" s="65"/>
      <c r="AW1071" s="65"/>
      <c r="AX1071" s="65"/>
      <c r="AY1071" s="65"/>
      <c r="AZ1071" s="65"/>
      <c r="BA1071" s="65"/>
      <c r="BB1071" s="65"/>
      <c r="BC1071" s="65"/>
      <c r="BD1071" s="65"/>
      <c r="BE1071" s="66"/>
    </row>
    <row r="1072" spans="1:57" s="48" customFormat="1" x14ac:dyDescent="0.2">
      <c r="A1072" s="677"/>
      <c r="B1072" s="709"/>
      <c r="C1072" s="648"/>
      <c r="D1072" s="189">
        <v>2026</v>
      </c>
      <c r="E1072" s="188">
        <f>F1072</f>
        <v>1.5</v>
      </c>
      <c r="F1072" s="188">
        <v>1.5</v>
      </c>
      <c r="G1072" s="188">
        <v>0</v>
      </c>
      <c r="H1072" s="188">
        <v>0</v>
      </c>
      <c r="I1072" s="188">
        <v>0</v>
      </c>
      <c r="J1072" s="188">
        <v>0</v>
      </c>
      <c r="K1072" s="261">
        <f t="shared" si="405"/>
        <v>1.5</v>
      </c>
      <c r="L1072" s="53"/>
      <c r="M1072" s="50"/>
      <c r="N1072" s="51"/>
      <c r="O1072" s="701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  <c r="AC1072" s="65"/>
      <c r="AD1072" s="65"/>
      <c r="AE1072" s="65"/>
      <c r="AF1072" s="65"/>
      <c r="AG1072" s="65"/>
      <c r="AH1072" s="65"/>
      <c r="AI1072" s="65"/>
      <c r="AJ1072" s="65"/>
      <c r="AK1072" s="65"/>
      <c r="AL1072" s="65"/>
      <c r="AM1072" s="65"/>
      <c r="AN1072" s="65"/>
      <c r="AO1072" s="65"/>
      <c r="AP1072" s="65"/>
      <c r="AQ1072" s="65"/>
      <c r="AR1072" s="65"/>
      <c r="AS1072" s="65"/>
      <c r="AT1072" s="65"/>
      <c r="AU1072" s="65"/>
      <c r="AV1072" s="65"/>
      <c r="AW1072" s="65"/>
      <c r="AX1072" s="65"/>
      <c r="AY1072" s="65"/>
      <c r="AZ1072" s="65"/>
      <c r="BA1072" s="65"/>
      <c r="BB1072" s="65"/>
      <c r="BC1072" s="65"/>
      <c r="BD1072" s="65"/>
      <c r="BE1072" s="66"/>
    </row>
    <row r="1073" spans="1:57" s="48" customFormat="1" x14ac:dyDescent="0.2">
      <c r="A1073" s="675" t="s">
        <v>768</v>
      </c>
      <c r="B1073" s="707" t="s">
        <v>564</v>
      </c>
      <c r="C1073" s="648"/>
      <c r="D1073" s="46" t="s">
        <v>198</v>
      </c>
      <c r="E1073" s="188">
        <f>E1074</f>
        <v>1.5</v>
      </c>
      <c r="F1073" s="188">
        <f t="shared" ref="F1073:J1073" si="423">F1074</f>
        <v>1.5</v>
      </c>
      <c r="G1073" s="188">
        <f t="shared" si="423"/>
        <v>0</v>
      </c>
      <c r="H1073" s="188">
        <f t="shared" si="423"/>
        <v>0</v>
      </c>
      <c r="I1073" s="188">
        <f t="shared" si="423"/>
        <v>0</v>
      </c>
      <c r="J1073" s="188">
        <f t="shared" si="423"/>
        <v>0</v>
      </c>
      <c r="K1073" s="261">
        <f t="shared" si="405"/>
        <v>1.5</v>
      </c>
      <c r="L1073" s="53"/>
      <c r="M1073" s="50"/>
      <c r="N1073" s="51"/>
      <c r="O1073" s="701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  <c r="AC1073" s="65"/>
      <c r="AD1073" s="65"/>
      <c r="AE1073" s="65"/>
      <c r="AF1073" s="65"/>
      <c r="AG1073" s="65"/>
      <c r="AH1073" s="65"/>
      <c r="AI1073" s="65"/>
      <c r="AJ1073" s="65"/>
      <c r="AK1073" s="65"/>
      <c r="AL1073" s="65"/>
      <c r="AM1073" s="65"/>
      <c r="AN1073" s="65"/>
      <c r="AO1073" s="65"/>
      <c r="AP1073" s="65"/>
      <c r="AQ1073" s="65"/>
      <c r="AR1073" s="65"/>
      <c r="AS1073" s="65"/>
      <c r="AT1073" s="65"/>
      <c r="AU1073" s="65"/>
      <c r="AV1073" s="65"/>
      <c r="AW1073" s="65"/>
      <c r="AX1073" s="65"/>
      <c r="AY1073" s="65"/>
      <c r="AZ1073" s="65"/>
      <c r="BA1073" s="65"/>
      <c r="BB1073" s="65"/>
      <c r="BC1073" s="65"/>
      <c r="BD1073" s="65"/>
      <c r="BE1073" s="66"/>
    </row>
    <row r="1074" spans="1:57" s="48" customFormat="1" x14ac:dyDescent="0.2">
      <c r="A1074" s="677"/>
      <c r="B1074" s="709"/>
      <c r="C1074" s="648"/>
      <c r="D1074" s="189">
        <v>2029</v>
      </c>
      <c r="E1074" s="188">
        <f>F1074</f>
        <v>1.5</v>
      </c>
      <c r="F1074" s="188">
        <v>1.5</v>
      </c>
      <c r="G1074" s="188">
        <v>0</v>
      </c>
      <c r="H1074" s="188">
        <v>0</v>
      </c>
      <c r="I1074" s="188">
        <v>0</v>
      </c>
      <c r="J1074" s="188">
        <v>0</v>
      </c>
      <c r="K1074" s="261">
        <f t="shared" si="405"/>
        <v>1.5</v>
      </c>
      <c r="L1074" s="53"/>
      <c r="M1074" s="50"/>
      <c r="N1074" s="51"/>
      <c r="O1074" s="701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  <c r="AC1074" s="65"/>
      <c r="AD1074" s="65"/>
      <c r="AE1074" s="65"/>
      <c r="AF1074" s="65"/>
      <c r="AG1074" s="65"/>
      <c r="AH1074" s="65"/>
      <c r="AI1074" s="65"/>
      <c r="AJ1074" s="65"/>
      <c r="AK1074" s="65"/>
      <c r="AL1074" s="65"/>
      <c r="AM1074" s="65"/>
      <c r="AN1074" s="65"/>
      <c r="AO1074" s="65"/>
      <c r="AP1074" s="65"/>
      <c r="AQ1074" s="65"/>
      <c r="AR1074" s="65"/>
      <c r="AS1074" s="65"/>
      <c r="AT1074" s="65"/>
      <c r="AU1074" s="65"/>
      <c r="AV1074" s="65"/>
      <c r="AW1074" s="65"/>
      <c r="AX1074" s="65"/>
      <c r="AY1074" s="65"/>
      <c r="AZ1074" s="65"/>
      <c r="BA1074" s="65"/>
      <c r="BB1074" s="65"/>
      <c r="BC1074" s="65"/>
      <c r="BD1074" s="65"/>
      <c r="BE1074" s="66"/>
    </row>
    <row r="1075" spans="1:57" s="48" customFormat="1" x14ac:dyDescent="0.2">
      <c r="A1075" s="675" t="s">
        <v>769</v>
      </c>
      <c r="B1075" s="707" t="s">
        <v>565</v>
      </c>
      <c r="C1075" s="648"/>
      <c r="D1075" s="46" t="s">
        <v>198</v>
      </c>
      <c r="E1075" s="188">
        <f>E1076</f>
        <v>1.5</v>
      </c>
      <c r="F1075" s="188">
        <f t="shared" ref="F1075:J1075" si="424">F1076</f>
        <v>1.5</v>
      </c>
      <c r="G1075" s="188">
        <f t="shared" si="424"/>
        <v>0</v>
      </c>
      <c r="H1075" s="188">
        <f t="shared" si="424"/>
        <v>0</v>
      </c>
      <c r="I1075" s="188">
        <f t="shared" si="424"/>
        <v>0</v>
      </c>
      <c r="J1075" s="188">
        <f t="shared" si="424"/>
        <v>0</v>
      </c>
      <c r="K1075" s="261">
        <f t="shared" si="405"/>
        <v>1.5</v>
      </c>
      <c r="L1075" s="53"/>
      <c r="M1075" s="50"/>
      <c r="N1075" s="51"/>
      <c r="O1075" s="701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  <c r="AC1075" s="65"/>
      <c r="AD1075" s="65"/>
      <c r="AE1075" s="65"/>
      <c r="AF1075" s="65"/>
      <c r="AG1075" s="65"/>
      <c r="AH1075" s="65"/>
      <c r="AI1075" s="65"/>
      <c r="AJ1075" s="65"/>
      <c r="AK1075" s="65"/>
      <c r="AL1075" s="65"/>
      <c r="AM1075" s="65"/>
      <c r="AN1075" s="65"/>
      <c r="AO1075" s="65"/>
      <c r="AP1075" s="65"/>
      <c r="AQ1075" s="65"/>
      <c r="AR1075" s="65"/>
      <c r="AS1075" s="65"/>
      <c r="AT1075" s="65"/>
      <c r="AU1075" s="65"/>
      <c r="AV1075" s="65"/>
      <c r="AW1075" s="65"/>
      <c r="AX1075" s="65"/>
      <c r="AY1075" s="65"/>
      <c r="AZ1075" s="65"/>
      <c r="BA1075" s="65"/>
      <c r="BB1075" s="65"/>
      <c r="BC1075" s="65"/>
      <c r="BD1075" s="65"/>
      <c r="BE1075" s="66"/>
    </row>
    <row r="1076" spans="1:57" s="48" customFormat="1" x14ac:dyDescent="0.2">
      <c r="A1076" s="677"/>
      <c r="B1076" s="709"/>
      <c r="C1076" s="648"/>
      <c r="D1076" s="189">
        <v>2028</v>
      </c>
      <c r="E1076" s="188">
        <f>F1076</f>
        <v>1.5</v>
      </c>
      <c r="F1076" s="188">
        <v>1.5</v>
      </c>
      <c r="G1076" s="188">
        <v>0</v>
      </c>
      <c r="H1076" s="188">
        <v>0</v>
      </c>
      <c r="I1076" s="188">
        <v>0</v>
      </c>
      <c r="J1076" s="188">
        <v>0</v>
      </c>
      <c r="K1076" s="261">
        <f t="shared" si="405"/>
        <v>1.5</v>
      </c>
      <c r="L1076" s="53"/>
      <c r="M1076" s="50"/>
      <c r="N1076" s="51"/>
      <c r="O1076" s="701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  <c r="AC1076" s="65"/>
      <c r="AD1076" s="65"/>
      <c r="AE1076" s="65"/>
      <c r="AF1076" s="65"/>
      <c r="AG1076" s="65"/>
      <c r="AH1076" s="65"/>
      <c r="AI1076" s="65"/>
      <c r="AJ1076" s="65"/>
      <c r="AK1076" s="65"/>
      <c r="AL1076" s="65"/>
      <c r="AM1076" s="65"/>
      <c r="AN1076" s="65"/>
      <c r="AO1076" s="65"/>
      <c r="AP1076" s="65"/>
      <c r="AQ1076" s="65"/>
      <c r="AR1076" s="65"/>
      <c r="AS1076" s="65"/>
      <c r="AT1076" s="65"/>
      <c r="AU1076" s="65"/>
      <c r="AV1076" s="65"/>
      <c r="AW1076" s="65"/>
      <c r="AX1076" s="65"/>
      <c r="AY1076" s="65"/>
      <c r="AZ1076" s="65"/>
      <c r="BA1076" s="65"/>
      <c r="BB1076" s="65"/>
      <c r="BC1076" s="65"/>
      <c r="BD1076" s="65"/>
      <c r="BE1076" s="66"/>
    </row>
    <row r="1077" spans="1:57" s="48" customFormat="1" x14ac:dyDescent="0.2">
      <c r="A1077" s="675" t="s">
        <v>770</v>
      </c>
      <c r="B1077" s="705" t="s">
        <v>497</v>
      </c>
      <c r="C1077" s="648"/>
      <c r="D1077" s="46" t="s">
        <v>198</v>
      </c>
      <c r="E1077" s="188">
        <f>E1078</f>
        <v>1.5</v>
      </c>
      <c r="F1077" s="188">
        <f t="shared" ref="F1077:J1077" si="425">F1078</f>
        <v>1.5</v>
      </c>
      <c r="G1077" s="188">
        <f t="shared" si="425"/>
        <v>0</v>
      </c>
      <c r="H1077" s="188">
        <f t="shared" si="425"/>
        <v>0</v>
      </c>
      <c r="I1077" s="188">
        <f t="shared" si="425"/>
        <v>0</v>
      </c>
      <c r="J1077" s="188">
        <f t="shared" si="425"/>
        <v>0</v>
      </c>
      <c r="K1077" s="261">
        <f t="shared" si="405"/>
        <v>1.5</v>
      </c>
      <c r="L1077" s="53"/>
      <c r="M1077" s="50"/>
      <c r="N1077" s="51"/>
      <c r="O1077" s="701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  <c r="AC1077" s="65"/>
      <c r="AD1077" s="65"/>
      <c r="AE1077" s="65"/>
      <c r="AF1077" s="65"/>
      <c r="AG1077" s="65"/>
      <c r="AH1077" s="65"/>
      <c r="AI1077" s="65"/>
      <c r="AJ1077" s="65"/>
      <c r="AK1077" s="65"/>
      <c r="AL1077" s="65"/>
      <c r="AM1077" s="65"/>
      <c r="AN1077" s="65"/>
      <c r="AO1077" s="65"/>
      <c r="AP1077" s="65"/>
      <c r="AQ1077" s="65"/>
      <c r="AR1077" s="65"/>
      <c r="AS1077" s="65"/>
      <c r="AT1077" s="65"/>
      <c r="AU1077" s="65"/>
      <c r="AV1077" s="65"/>
      <c r="AW1077" s="65"/>
      <c r="AX1077" s="65"/>
      <c r="AY1077" s="65"/>
      <c r="AZ1077" s="65"/>
      <c r="BA1077" s="65"/>
      <c r="BB1077" s="65"/>
      <c r="BC1077" s="65"/>
      <c r="BD1077" s="65"/>
      <c r="BE1077" s="66"/>
    </row>
    <row r="1078" spans="1:57" s="48" customFormat="1" x14ac:dyDescent="0.2">
      <c r="A1078" s="676"/>
      <c r="B1078" s="706"/>
      <c r="C1078" s="632"/>
      <c r="D1078" s="189">
        <v>2027</v>
      </c>
      <c r="E1078" s="188">
        <f>F1078</f>
        <v>1.5</v>
      </c>
      <c r="F1078" s="188">
        <v>1.5</v>
      </c>
      <c r="G1078" s="188">
        <v>0</v>
      </c>
      <c r="H1078" s="188">
        <v>0</v>
      </c>
      <c r="I1078" s="188">
        <v>0</v>
      </c>
      <c r="J1078" s="188">
        <v>0</v>
      </c>
      <c r="K1078" s="261">
        <f t="shared" si="405"/>
        <v>1.5</v>
      </c>
      <c r="L1078" s="53"/>
      <c r="M1078" s="50"/>
      <c r="N1078" s="51"/>
      <c r="O1078" s="702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  <c r="AC1078" s="65"/>
      <c r="AD1078" s="65"/>
      <c r="AE1078" s="65"/>
      <c r="AF1078" s="65"/>
      <c r="AG1078" s="65"/>
      <c r="AH1078" s="65"/>
      <c r="AI1078" s="65"/>
      <c r="AJ1078" s="65"/>
      <c r="AK1078" s="65"/>
      <c r="AL1078" s="65"/>
      <c r="AM1078" s="65"/>
      <c r="AN1078" s="65"/>
      <c r="AO1078" s="65"/>
      <c r="AP1078" s="65"/>
      <c r="AQ1078" s="65"/>
      <c r="AR1078" s="65"/>
      <c r="AS1078" s="65"/>
      <c r="AT1078" s="65"/>
      <c r="AU1078" s="65"/>
      <c r="AV1078" s="65"/>
      <c r="AW1078" s="65"/>
      <c r="AX1078" s="65"/>
      <c r="AY1078" s="65"/>
      <c r="AZ1078" s="65"/>
      <c r="BA1078" s="65"/>
      <c r="BB1078" s="65"/>
      <c r="BC1078" s="65"/>
      <c r="BD1078" s="65"/>
      <c r="BE1078" s="66"/>
    </row>
    <row r="1079" spans="1:57" s="48" customFormat="1" ht="12.75" customHeight="1" x14ac:dyDescent="0.2">
      <c r="A1079" s="675" t="s">
        <v>771</v>
      </c>
      <c r="B1079" s="705" t="s">
        <v>573</v>
      </c>
      <c r="C1079" s="631" t="s">
        <v>402</v>
      </c>
      <c r="D1079" s="46" t="s">
        <v>198</v>
      </c>
      <c r="E1079" s="188">
        <f>E1080</f>
        <v>7.2900000000000006E-2</v>
      </c>
      <c r="F1079" s="188">
        <f t="shared" ref="F1079:J1079" si="426">F1080</f>
        <v>7.2900000000000006E-2</v>
      </c>
      <c r="G1079" s="188">
        <f t="shared" si="426"/>
        <v>0</v>
      </c>
      <c r="H1079" s="188">
        <f t="shared" si="426"/>
        <v>0</v>
      </c>
      <c r="I1079" s="188">
        <f t="shared" si="426"/>
        <v>0</v>
      </c>
      <c r="J1079" s="188">
        <f t="shared" si="426"/>
        <v>0</v>
      </c>
      <c r="K1079" s="261">
        <f t="shared" si="405"/>
        <v>7.2900000000000006E-2</v>
      </c>
      <c r="L1079" s="53"/>
      <c r="M1079" s="50"/>
      <c r="N1079" s="51"/>
      <c r="O1079" s="682" t="s">
        <v>861</v>
      </c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  <c r="AB1079" s="65"/>
      <c r="AC1079" s="65"/>
      <c r="AD1079" s="65"/>
      <c r="AE1079" s="65"/>
      <c r="AF1079" s="65"/>
      <c r="AG1079" s="65"/>
      <c r="AH1079" s="65"/>
      <c r="AI1079" s="65"/>
      <c r="AJ1079" s="65"/>
      <c r="AK1079" s="65"/>
      <c r="AL1079" s="65"/>
      <c r="AM1079" s="65"/>
      <c r="AN1079" s="65"/>
      <c r="AO1079" s="65"/>
      <c r="AP1079" s="65"/>
      <c r="AQ1079" s="65"/>
      <c r="AR1079" s="65"/>
      <c r="AS1079" s="65"/>
      <c r="AT1079" s="65"/>
      <c r="AU1079" s="65"/>
      <c r="AV1079" s="65"/>
      <c r="AW1079" s="65"/>
      <c r="AX1079" s="65"/>
      <c r="AY1079" s="65"/>
      <c r="AZ1079" s="65"/>
      <c r="BA1079" s="65"/>
      <c r="BB1079" s="65"/>
      <c r="BC1079" s="65"/>
      <c r="BD1079" s="65"/>
      <c r="BE1079" s="66"/>
    </row>
    <row r="1080" spans="1:57" s="48" customFormat="1" ht="57.75" customHeight="1" x14ac:dyDescent="0.2">
      <c r="A1080" s="677"/>
      <c r="B1080" s="730"/>
      <c r="C1080" s="648"/>
      <c r="D1080" s="189">
        <v>2023</v>
      </c>
      <c r="E1080" s="188">
        <f>F1080+G1080+H1080+I1080+J1080</f>
        <v>7.2900000000000006E-2</v>
      </c>
      <c r="F1080" s="188">
        <v>7.2900000000000006E-2</v>
      </c>
      <c r="G1080" s="188">
        <v>0</v>
      </c>
      <c r="H1080" s="188">
        <v>0</v>
      </c>
      <c r="I1080" s="188">
        <v>0</v>
      </c>
      <c r="J1080" s="188">
        <v>0</v>
      </c>
      <c r="K1080" s="261">
        <f t="shared" si="405"/>
        <v>7.2900000000000006E-2</v>
      </c>
      <c r="L1080" s="53"/>
      <c r="M1080" s="50"/>
      <c r="N1080" s="51"/>
      <c r="O1080" s="683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  <c r="AB1080" s="65"/>
      <c r="AC1080" s="65"/>
      <c r="AD1080" s="65"/>
      <c r="AE1080" s="65"/>
      <c r="AF1080" s="65"/>
      <c r="AG1080" s="65"/>
      <c r="AH1080" s="65"/>
      <c r="AI1080" s="65"/>
      <c r="AJ1080" s="65"/>
      <c r="AK1080" s="65"/>
      <c r="AL1080" s="65"/>
      <c r="AM1080" s="65"/>
      <c r="AN1080" s="65"/>
      <c r="AO1080" s="65"/>
      <c r="AP1080" s="65"/>
      <c r="AQ1080" s="65"/>
      <c r="AR1080" s="65"/>
      <c r="AS1080" s="65"/>
      <c r="AT1080" s="65"/>
      <c r="AU1080" s="65"/>
      <c r="AV1080" s="65"/>
      <c r="AW1080" s="65"/>
      <c r="AX1080" s="65"/>
      <c r="AY1080" s="65"/>
      <c r="AZ1080" s="65"/>
      <c r="BA1080" s="65"/>
      <c r="BB1080" s="65"/>
      <c r="BC1080" s="65"/>
      <c r="BD1080" s="65"/>
      <c r="BE1080" s="66"/>
    </row>
    <row r="1081" spans="1:57" s="330" customFormat="1" ht="18" customHeight="1" x14ac:dyDescent="0.2">
      <c r="A1081" s="685" t="s">
        <v>714</v>
      </c>
      <c r="B1081" s="688" t="s">
        <v>925</v>
      </c>
      <c r="C1081" s="648"/>
      <c r="D1081" s="323" t="s">
        <v>198</v>
      </c>
      <c r="E1081" s="324">
        <f>E1082+E1083+E1084+E1085+E1086</f>
        <v>1.4171</v>
      </c>
      <c r="F1081" s="324">
        <f t="shared" ref="F1081:H1081" si="427">F1082+F1083+F1084+F1085+F1086</f>
        <v>1.4171</v>
      </c>
      <c r="G1081" s="324">
        <f t="shared" si="427"/>
        <v>0</v>
      </c>
      <c r="H1081" s="324">
        <f t="shared" si="427"/>
        <v>0</v>
      </c>
      <c r="I1081" s="324">
        <f t="shared" ref="I1081:J1081" si="428">I1082</f>
        <v>0</v>
      </c>
      <c r="J1081" s="324">
        <f t="shared" si="428"/>
        <v>0</v>
      </c>
      <c r="K1081" s="325">
        <f t="shared" si="405"/>
        <v>1.4171</v>
      </c>
      <c r="L1081" s="372"/>
      <c r="M1081" s="326"/>
      <c r="N1081" s="327"/>
      <c r="O1081" s="683"/>
      <c r="P1081" s="328"/>
      <c r="Q1081" s="328"/>
      <c r="R1081" s="328"/>
      <c r="S1081" s="328"/>
      <c r="T1081" s="328"/>
      <c r="U1081" s="328"/>
      <c r="V1081" s="328"/>
      <c r="W1081" s="328"/>
      <c r="X1081" s="328"/>
      <c r="Y1081" s="328"/>
      <c r="Z1081" s="328"/>
      <c r="AA1081" s="328"/>
      <c r="AB1081" s="328"/>
      <c r="AC1081" s="328"/>
      <c r="AD1081" s="328"/>
      <c r="AE1081" s="328"/>
      <c r="AF1081" s="328"/>
      <c r="AG1081" s="328"/>
      <c r="AH1081" s="328"/>
      <c r="AI1081" s="328"/>
      <c r="AJ1081" s="328"/>
      <c r="AK1081" s="328"/>
      <c r="AL1081" s="328"/>
      <c r="AM1081" s="328"/>
      <c r="AN1081" s="328"/>
      <c r="AO1081" s="328"/>
      <c r="AP1081" s="328"/>
      <c r="AQ1081" s="328"/>
      <c r="AR1081" s="328"/>
      <c r="AS1081" s="328"/>
      <c r="AT1081" s="328"/>
      <c r="AU1081" s="328"/>
      <c r="AV1081" s="328"/>
      <c r="AW1081" s="328"/>
      <c r="AX1081" s="328"/>
      <c r="AY1081" s="328"/>
      <c r="AZ1081" s="328"/>
      <c r="BA1081" s="328"/>
      <c r="BB1081" s="328"/>
      <c r="BC1081" s="328"/>
      <c r="BD1081" s="328"/>
      <c r="BE1081" s="329"/>
    </row>
    <row r="1082" spans="1:57" s="330" customFormat="1" ht="17.25" customHeight="1" x14ac:dyDescent="0.2">
      <c r="A1082" s="686"/>
      <c r="B1082" s="689"/>
      <c r="C1082" s="648"/>
      <c r="D1082" s="331">
        <v>2020</v>
      </c>
      <c r="E1082" s="332">
        <f t="shared" ref="E1082:J1082" si="429">E1090</f>
        <v>7.2400000000000006E-2</v>
      </c>
      <c r="F1082" s="332">
        <f t="shared" si="429"/>
        <v>7.2400000000000006E-2</v>
      </c>
      <c r="G1082" s="332">
        <f t="shared" si="429"/>
        <v>0</v>
      </c>
      <c r="H1082" s="332">
        <f t="shared" si="429"/>
        <v>0</v>
      </c>
      <c r="I1082" s="332">
        <f t="shared" si="429"/>
        <v>0</v>
      </c>
      <c r="J1082" s="332">
        <f t="shared" si="429"/>
        <v>0</v>
      </c>
      <c r="K1082" s="325">
        <f t="shared" si="405"/>
        <v>7.2400000000000006E-2</v>
      </c>
      <c r="L1082" s="372"/>
      <c r="M1082" s="326"/>
      <c r="N1082" s="327"/>
      <c r="O1082" s="683"/>
      <c r="P1082" s="328"/>
      <c r="Q1082" s="328"/>
      <c r="R1082" s="328"/>
      <c r="S1082" s="328"/>
      <c r="T1082" s="328"/>
      <c r="U1082" s="328"/>
      <c r="V1082" s="328"/>
      <c r="W1082" s="328"/>
      <c r="X1082" s="328"/>
      <c r="Y1082" s="328"/>
      <c r="Z1082" s="328"/>
      <c r="AA1082" s="328"/>
      <c r="AB1082" s="328"/>
      <c r="AC1082" s="328"/>
      <c r="AD1082" s="328"/>
      <c r="AE1082" s="328"/>
      <c r="AF1082" s="328"/>
      <c r="AG1082" s="328"/>
      <c r="AH1082" s="328"/>
      <c r="AI1082" s="328"/>
      <c r="AJ1082" s="328"/>
      <c r="AK1082" s="328"/>
      <c r="AL1082" s="328"/>
      <c r="AM1082" s="328"/>
      <c r="AN1082" s="328"/>
      <c r="AO1082" s="328"/>
      <c r="AP1082" s="328"/>
      <c r="AQ1082" s="328"/>
      <c r="AR1082" s="328"/>
      <c r="AS1082" s="328"/>
      <c r="AT1082" s="328"/>
      <c r="AU1082" s="328"/>
      <c r="AV1082" s="328"/>
      <c r="AW1082" s="328"/>
      <c r="AX1082" s="328"/>
      <c r="AY1082" s="328"/>
      <c r="AZ1082" s="328"/>
      <c r="BA1082" s="328"/>
      <c r="BB1082" s="328"/>
      <c r="BC1082" s="328"/>
      <c r="BD1082" s="328"/>
      <c r="BE1082" s="329"/>
    </row>
    <row r="1083" spans="1:57" s="330" customFormat="1" ht="17.25" customHeight="1" x14ac:dyDescent="0.2">
      <c r="A1083" s="686"/>
      <c r="B1083" s="689"/>
      <c r="C1083" s="648"/>
      <c r="D1083" s="331">
        <v>2021</v>
      </c>
      <c r="E1083" s="332">
        <f>F1083</f>
        <v>0.62400999999999995</v>
      </c>
      <c r="F1083" s="332">
        <f>F1088+F1092+F1094</f>
        <v>0.62400999999999995</v>
      </c>
      <c r="G1083" s="332">
        <f>G1088+G1092+G1094</f>
        <v>0</v>
      </c>
      <c r="H1083" s="332">
        <f>H1088+H1092+H1094</f>
        <v>0</v>
      </c>
      <c r="I1083" s="332">
        <f>I1088+I1092+I1094</f>
        <v>0</v>
      </c>
      <c r="J1083" s="332">
        <f>J1088+J1092+J1094</f>
        <v>0</v>
      </c>
      <c r="K1083" s="325">
        <f t="shared" si="405"/>
        <v>0.62400999999999995</v>
      </c>
      <c r="L1083" s="372"/>
      <c r="M1083" s="326"/>
      <c r="N1083" s="327"/>
      <c r="O1083" s="683"/>
      <c r="P1083" s="328"/>
      <c r="Q1083" s="328"/>
      <c r="R1083" s="328"/>
      <c r="S1083" s="328"/>
      <c r="T1083" s="328"/>
      <c r="U1083" s="328"/>
      <c r="V1083" s="328"/>
      <c r="W1083" s="328"/>
      <c r="X1083" s="328"/>
      <c r="Y1083" s="328"/>
      <c r="Z1083" s="328"/>
      <c r="AA1083" s="328"/>
      <c r="AB1083" s="328"/>
      <c r="AC1083" s="328"/>
      <c r="AD1083" s="328"/>
      <c r="AE1083" s="328"/>
      <c r="AF1083" s="328"/>
      <c r="AG1083" s="328"/>
      <c r="AH1083" s="328"/>
      <c r="AI1083" s="328"/>
      <c r="AJ1083" s="328"/>
      <c r="AK1083" s="328"/>
      <c r="AL1083" s="328"/>
      <c r="AM1083" s="328"/>
      <c r="AN1083" s="328"/>
      <c r="AO1083" s="328"/>
      <c r="AP1083" s="328"/>
      <c r="AQ1083" s="328"/>
      <c r="AR1083" s="328"/>
      <c r="AS1083" s="328"/>
      <c r="AT1083" s="328"/>
      <c r="AU1083" s="328"/>
      <c r="AV1083" s="328"/>
      <c r="AW1083" s="328"/>
      <c r="AX1083" s="328"/>
      <c r="AY1083" s="328"/>
      <c r="AZ1083" s="328"/>
      <c r="BA1083" s="328"/>
      <c r="BB1083" s="328"/>
      <c r="BC1083" s="328"/>
      <c r="BD1083" s="328"/>
      <c r="BE1083" s="329"/>
    </row>
    <row r="1084" spans="1:57" s="330" customFormat="1" ht="17.25" customHeight="1" x14ac:dyDescent="0.2">
      <c r="A1084" s="686"/>
      <c r="B1084" s="689"/>
      <c r="C1084" s="648"/>
      <c r="D1084" s="374">
        <v>2022</v>
      </c>
      <c r="E1084" s="332">
        <f>F1084</f>
        <v>5.2510000000000001E-2</v>
      </c>
      <c r="F1084" s="332">
        <f>F1096+F1098</f>
        <v>5.2510000000000001E-2</v>
      </c>
      <c r="G1084" s="332">
        <f t="shared" ref="G1084:J1084" si="430">G1096+G1098</f>
        <v>0</v>
      </c>
      <c r="H1084" s="332">
        <f t="shared" si="430"/>
        <v>0</v>
      </c>
      <c r="I1084" s="332">
        <f t="shared" si="430"/>
        <v>0</v>
      </c>
      <c r="J1084" s="332">
        <f t="shared" si="430"/>
        <v>0</v>
      </c>
      <c r="K1084" s="325">
        <f t="shared" si="405"/>
        <v>5.2510000000000001E-2</v>
      </c>
      <c r="L1084" s="372"/>
      <c r="M1084" s="326"/>
      <c r="N1084" s="327"/>
      <c r="O1084" s="683"/>
      <c r="P1084" s="328"/>
      <c r="Q1084" s="328"/>
      <c r="R1084" s="328"/>
      <c r="S1084" s="328"/>
      <c r="T1084" s="328"/>
      <c r="U1084" s="328"/>
      <c r="V1084" s="328"/>
      <c r="W1084" s="328"/>
      <c r="X1084" s="328"/>
      <c r="Y1084" s="328"/>
      <c r="Z1084" s="328"/>
      <c r="AA1084" s="328"/>
      <c r="AB1084" s="328"/>
      <c r="AC1084" s="328"/>
      <c r="AD1084" s="328"/>
      <c r="AE1084" s="328"/>
      <c r="AF1084" s="328"/>
      <c r="AG1084" s="328"/>
      <c r="AH1084" s="328"/>
      <c r="AI1084" s="328"/>
      <c r="AJ1084" s="328"/>
      <c r="AK1084" s="328"/>
      <c r="AL1084" s="328"/>
      <c r="AM1084" s="328"/>
      <c r="AN1084" s="328"/>
      <c r="AO1084" s="328"/>
      <c r="AP1084" s="328"/>
      <c r="AQ1084" s="328"/>
      <c r="AR1084" s="328"/>
      <c r="AS1084" s="328"/>
      <c r="AT1084" s="328"/>
      <c r="AU1084" s="328"/>
      <c r="AV1084" s="328"/>
      <c r="AW1084" s="328"/>
      <c r="AX1084" s="328"/>
      <c r="AY1084" s="328"/>
      <c r="AZ1084" s="328"/>
      <c r="BA1084" s="328"/>
      <c r="BB1084" s="328"/>
      <c r="BC1084" s="328"/>
      <c r="BD1084" s="328"/>
      <c r="BE1084" s="329"/>
    </row>
    <row r="1085" spans="1:57" s="330" customFormat="1" ht="17.25" customHeight="1" x14ac:dyDescent="0.2">
      <c r="A1085" s="686"/>
      <c r="B1085" s="689"/>
      <c r="C1085" s="648"/>
      <c r="D1085" s="374">
        <v>2023</v>
      </c>
      <c r="E1085" s="332">
        <f t="shared" ref="E1085:E1086" si="431">F1085</f>
        <v>3.7679999999999998E-2</v>
      </c>
      <c r="F1085" s="332">
        <f>F1104</f>
        <v>3.7679999999999998E-2</v>
      </c>
      <c r="G1085" s="332">
        <f t="shared" ref="G1085:J1085" si="432">G1104</f>
        <v>0</v>
      </c>
      <c r="H1085" s="332">
        <f t="shared" si="432"/>
        <v>0</v>
      </c>
      <c r="I1085" s="332">
        <f t="shared" si="432"/>
        <v>0</v>
      </c>
      <c r="J1085" s="332">
        <f t="shared" si="432"/>
        <v>0</v>
      </c>
      <c r="K1085" s="325">
        <f t="shared" si="405"/>
        <v>3.7679999999999998E-2</v>
      </c>
      <c r="L1085" s="372"/>
      <c r="M1085" s="326"/>
      <c r="N1085" s="327"/>
      <c r="O1085" s="683"/>
      <c r="P1085" s="328"/>
      <c r="Q1085" s="328"/>
      <c r="R1085" s="328"/>
      <c r="S1085" s="328"/>
      <c r="T1085" s="328"/>
      <c r="U1085" s="328"/>
      <c r="V1085" s="328"/>
      <c r="W1085" s="328"/>
      <c r="X1085" s="328"/>
      <c r="Y1085" s="328"/>
      <c r="Z1085" s="328"/>
      <c r="AA1085" s="328"/>
      <c r="AB1085" s="328"/>
      <c r="AC1085" s="328"/>
      <c r="AD1085" s="328"/>
      <c r="AE1085" s="328"/>
      <c r="AF1085" s="328"/>
      <c r="AG1085" s="328"/>
      <c r="AH1085" s="328"/>
      <c r="AI1085" s="328"/>
      <c r="AJ1085" s="328"/>
      <c r="AK1085" s="328"/>
      <c r="AL1085" s="328"/>
      <c r="AM1085" s="328"/>
      <c r="AN1085" s="328"/>
      <c r="AO1085" s="328"/>
      <c r="AP1085" s="328"/>
      <c r="AQ1085" s="328"/>
      <c r="AR1085" s="328"/>
      <c r="AS1085" s="328"/>
      <c r="AT1085" s="328"/>
      <c r="AU1085" s="328"/>
      <c r="AV1085" s="328"/>
      <c r="AW1085" s="328"/>
      <c r="AX1085" s="328"/>
      <c r="AY1085" s="328"/>
      <c r="AZ1085" s="328"/>
      <c r="BA1085" s="328"/>
      <c r="BB1085" s="328"/>
      <c r="BC1085" s="328"/>
      <c r="BD1085" s="328"/>
      <c r="BE1085" s="329"/>
    </row>
    <row r="1086" spans="1:57" s="330" customFormat="1" ht="17.25" customHeight="1" x14ac:dyDescent="0.2">
      <c r="A1086" s="687"/>
      <c r="B1086" s="690"/>
      <c r="C1086" s="648"/>
      <c r="D1086" s="374">
        <v>2024</v>
      </c>
      <c r="E1086" s="332">
        <f t="shared" si="431"/>
        <v>0.63049999999999995</v>
      </c>
      <c r="F1086" s="332">
        <f>F1100+F1102</f>
        <v>0.63049999999999995</v>
      </c>
      <c r="G1086" s="332">
        <v>0</v>
      </c>
      <c r="H1086" s="332">
        <v>0</v>
      </c>
      <c r="I1086" s="332">
        <v>0</v>
      </c>
      <c r="J1086" s="332">
        <v>0</v>
      </c>
      <c r="K1086" s="325">
        <f t="shared" si="405"/>
        <v>0.63049999999999995</v>
      </c>
      <c r="L1086" s="372"/>
      <c r="M1086" s="326"/>
      <c r="N1086" s="327"/>
      <c r="O1086" s="683"/>
      <c r="P1086" s="328"/>
      <c r="Q1086" s="328"/>
      <c r="R1086" s="328"/>
      <c r="S1086" s="328"/>
      <c r="T1086" s="328"/>
      <c r="U1086" s="328"/>
      <c r="V1086" s="328"/>
      <c r="W1086" s="328"/>
      <c r="X1086" s="328"/>
      <c r="Y1086" s="328"/>
      <c r="Z1086" s="328"/>
      <c r="AA1086" s="328"/>
      <c r="AB1086" s="328"/>
      <c r="AC1086" s="328"/>
      <c r="AD1086" s="328"/>
      <c r="AE1086" s="328"/>
      <c r="AF1086" s="328"/>
      <c r="AG1086" s="328"/>
      <c r="AH1086" s="328"/>
      <c r="AI1086" s="328"/>
      <c r="AJ1086" s="328"/>
      <c r="AK1086" s="328"/>
      <c r="AL1086" s="328"/>
      <c r="AM1086" s="328"/>
      <c r="AN1086" s="328"/>
      <c r="AO1086" s="328"/>
      <c r="AP1086" s="328"/>
      <c r="AQ1086" s="328"/>
      <c r="AR1086" s="328"/>
      <c r="AS1086" s="328"/>
      <c r="AT1086" s="328"/>
      <c r="AU1086" s="328"/>
      <c r="AV1086" s="328"/>
      <c r="AW1086" s="328"/>
      <c r="AX1086" s="328"/>
      <c r="AY1086" s="328"/>
      <c r="AZ1086" s="328"/>
      <c r="BA1086" s="328"/>
      <c r="BB1086" s="328"/>
      <c r="BC1086" s="328"/>
      <c r="BD1086" s="328"/>
      <c r="BE1086" s="329"/>
    </row>
    <row r="1087" spans="1:57" s="330" customFormat="1" ht="17.25" customHeight="1" x14ac:dyDescent="0.2">
      <c r="A1087" s="691" t="s">
        <v>926</v>
      </c>
      <c r="B1087" s="688" t="s">
        <v>919</v>
      </c>
      <c r="C1087" s="648"/>
      <c r="D1087" s="323" t="s">
        <v>198</v>
      </c>
      <c r="E1087" s="324">
        <f>E1088</f>
        <v>0.52349999999999997</v>
      </c>
      <c r="F1087" s="324">
        <f>F1088</f>
        <v>0.52349999999999997</v>
      </c>
      <c r="G1087" s="324">
        <f t="shared" ref="G1087:J1087" si="433">G1088</f>
        <v>0</v>
      </c>
      <c r="H1087" s="324">
        <f t="shared" si="433"/>
        <v>0</v>
      </c>
      <c r="I1087" s="324">
        <f t="shared" si="433"/>
        <v>0</v>
      </c>
      <c r="J1087" s="324">
        <f t="shared" si="433"/>
        <v>0</v>
      </c>
      <c r="K1087" s="325">
        <f t="shared" si="405"/>
        <v>0.52349999999999997</v>
      </c>
      <c r="L1087" s="372"/>
      <c r="M1087" s="326"/>
      <c r="N1087" s="327"/>
      <c r="O1087" s="683"/>
      <c r="P1087" s="328"/>
      <c r="Q1087" s="328"/>
      <c r="R1087" s="328"/>
      <c r="S1087" s="328"/>
      <c r="T1087" s="328"/>
      <c r="U1087" s="328"/>
      <c r="V1087" s="328"/>
      <c r="W1087" s="328"/>
      <c r="X1087" s="328"/>
      <c r="Y1087" s="328"/>
      <c r="Z1087" s="328"/>
      <c r="AA1087" s="328"/>
      <c r="AB1087" s="328"/>
      <c r="AC1087" s="328"/>
      <c r="AD1087" s="328"/>
      <c r="AE1087" s="328"/>
      <c r="AF1087" s="328"/>
      <c r="AG1087" s="328"/>
      <c r="AH1087" s="328"/>
      <c r="AI1087" s="328"/>
      <c r="AJ1087" s="328"/>
      <c r="AK1087" s="328"/>
      <c r="AL1087" s="328"/>
      <c r="AM1087" s="328"/>
      <c r="AN1087" s="328"/>
      <c r="AO1087" s="328"/>
      <c r="AP1087" s="328"/>
      <c r="AQ1087" s="328"/>
      <c r="AR1087" s="328"/>
      <c r="AS1087" s="328"/>
      <c r="AT1087" s="328"/>
      <c r="AU1087" s="328"/>
      <c r="AV1087" s="328"/>
      <c r="AW1087" s="328"/>
      <c r="AX1087" s="328"/>
      <c r="AY1087" s="328"/>
      <c r="AZ1087" s="328"/>
      <c r="BA1087" s="328"/>
      <c r="BB1087" s="328"/>
      <c r="BC1087" s="328"/>
      <c r="BD1087" s="328"/>
      <c r="BE1087" s="329"/>
    </row>
    <row r="1088" spans="1:57" s="330" customFormat="1" ht="27" customHeight="1" x14ac:dyDescent="0.2">
      <c r="A1088" s="691"/>
      <c r="B1088" s="690"/>
      <c r="C1088" s="648"/>
      <c r="D1088" s="331">
        <v>2021</v>
      </c>
      <c r="E1088" s="332">
        <f>F1088+G1088+H1088+I1088+J1088</f>
        <v>0.52349999999999997</v>
      </c>
      <c r="F1088" s="332">
        <v>0.52349999999999997</v>
      </c>
      <c r="G1088" s="332">
        <v>0</v>
      </c>
      <c r="H1088" s="332">
        <v>0</v>
      </c>
      <c r="I1088" s="332">
        <v>0</v>
      </c>
      <c r="J1088" s="332">
        <v>0</v>
      </c>
      <c r="K1088" s="325">
        <f t="shared" si="405"/>
        <v>0.52349999999999997</v>
      </c>
      <c r="L1088" s="372"/>
      <c r="M1088" s="326"/>
      <c r="N1088" s="327"/>
      <c r="O1088" s="683"/>
      <c r="P1088" s="328"/>
      <c r="Q1088" s="328"/>
      <c r="R1088" s="328"/>
      <c r="S1088" s="328"/>
      <c r="T1088" s="328"/>
      <c r="U1088" s="328"/>
      <c r="V1088" s="328"/>
      <c r="W1088" s="328"/>
      <c r="X1088" s="328"/>
      <c r="Y1088" s="328"/>
      <c r="Z1088" s="328"/>
      <c r="AA1088" s="328"/>
      <c r="AB1088" s="328"/>
      <c r="AC1088" s="328"/>
      <c r="AD1088" s="328"/>
      <c r="AE1088" s="328"/>
      <c r="AF1088" s="328"/>
      <c r="AG1088" s="328"/>
      <c r="AH1088" s="328"/>
      <c r="AI1088" s="328"/>
      <c r="AJ1088" s="328"/>
      <c r="AK1088" s="328"/>
      <c r="AL1088" s="328"/>
      <c r="AM1088" s="328"/>
      <c r="AN1088" s="328"/>
      <c r="AO1088" s="328"/>
      <c r="AP1088" s="328"/>
      <c r="AQ1088" s="328"/>
      <c r="AR1088" s="328"/>
      <c r="AS1088" s="328"/>
      <c r="AT1088" s="328"/>
      <c r="AU1088" s="328"/>
      <c r="AV1088" s="328"/>
      <c r="AW1088" s="328"/>
      <c r="AX1088" s="328"/>
      <c r="AY1088" s="328"/>
      <c r="AZ1088" s="328"/>
      <c r="BA1088" s="328"/>
      <c r="BB1088" s="328"/>
      <c r="BC1088" s="328"/>
      <c r="BD1088" s="328"/>
      <c r="BE1088" s="329"/>
    </row>
    <row r="1089" spans="1:57" s="48" customFormat="1" ht="12.75" customHeight="1" x14ac:dyDescent="0.2">
      <c r="A1089" s="675" t="s">
        <v>927</v>
      </c>
      <c r="B1089" s="688" t="s">
        <v>920</v>
      </c>
      <c r="C1089" s="648"/>
      <c r="D1089" s="46" t="s">
        <v>198</v>
      </c>
      <c r="E1089" s="47">
        <f>E1090</f>
        <v>7.2400000000000006E-2</v>
      </c>
      <c r="F1089" s="47">
        <f>F1090</f>
        <v>7.2400000000000006E-2</v>
      </c>
      <c r="G1089" s="47">
        <f t="shared" ref="G1089:J1089" si="434">G1090</f>
        <v>0</v>
      </c>
      <c r="H1089" s="47">
        <f t="shared" si="434"/>
        <v>0</v>
      </c>
      <c r="I1089" s="47">
        <f t="shared" si="434"/>
        <v>0</v>
      </c>
      <c r="J1089" s="47">
        <f t="shared" si="434"/>
        <v>0</v>
      </c>
      <c r="K1089" s="261">
        <f t="shared" si="405"/>
        <v>7.2400000000000006E-2</v>
      </c>
      <c r="L1089" s="53"/>
      <c r="M1089" s="50"/>
      <c r="N1089" s="51"/>
      <c r="O1089" s="683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  <c r="AF1089" s="65"/>
      <c r="AG1089" s="65"/>
      <c r="AH1089" s="65"/>
      <c r="AI1089" s="65"/>
      <c r="AJ1089" s="65"/>
      <c r="AK1089" s="65"/>
      <c r="AL1089" s="65"/>
      <c r="AM1089" s="65"/>
      <c r="AN1089" s="65"/>
      <c r="AO1089" s="65"/>
      <c r="AP1089" s="65"/>
      <c r="AQ1089" s="65"/>
      <c r="AR1089" s="65"/>
      <c r="AS1089" s="65"/>
      <c r="AT1089" s="65"/>
      <c r="AU1089" s="65"/>
      <c r="AV1089" s="65"/>
      <c r="AW1089" s="65"/>
      <c r="AX1089" s="65"/>
      <c r="AY1089" s="65"/>
      <c r="AZ1089" s="65"/>
      <c r="BA1089" s="65"/>
      <c r="BB1089" s="65"/>
      <c r="BC1089" s="65"/>
      <c r="BD1089" s="65"/>
      <c r="BE1089" s="66"/>
    </row>
    <row r="1090" spans="1:57" s="330" customFormat="1" ht="60" customHeight="1" x14ac:dyDescent="0.2">
      <c r="A1090" s="677"/>
      <c r="B1090" s="690"/>
      <c r="C1090" s="648"/>
      <c r="D1090" s="331">
        <v>2020</v>
      </c>
      <c r="E1090" s="332">
        <f>F1090+G1090+H1090+I1090+J1090</f>
        <v>7.2400000000000006E-2</v>
      </c>
      <c r="F1090" s="332">
        <v>7.2400000000000006E-2</v>
      </c>
      <c r="G1090" s="332">
        <v>0</v>
      </c>
      <c r="H1090" s="332">
        <v>0</v>
      </c>
      <c r="I1090" s="332">
        <v>0</v>
      </c>
      <c r="J1090" s="332">
        <v>0</v>
      </c>
      <c r="K1090" s="325">
        <f t="shared" si="405"/>
        <v>7.2400000000000006E-2</v>
      </c>
      <c r="L1090" s="372"/>
      <c r="M1090" s="326"/>
      <c r="N1090" s="327"/>
      <c r="O1090" s="684"/>
      <c r="P1090" s="328"/>
      <c r="Q1090" s="328"/>
      <c r="R1090" s="328"/>
      <c r="S1090" s="328"/>
      <c r="T1090" s="328"/>
      <c r="U1090" s="328"/>
      <c r="V1090" s="328"/>
      <c r="W1090" s="328"/>
      <c r="X1090" s="328"/>
      <c r="Y1090" s="328"/>
      <c r="Z1090" s="328"/>
      <c r="AA1090" s="328"/>
      <c r="AB1090" s="328"/>
      <c r="AC1090" s="328"/>
      <c r="AD1090" s="328"/>
      <c r="AE1090" s="328"/>
      <c r="AF1090" s="328"/>
      <c r="AG1090" s="328"/>
      <c r="AH1090" s="328"/>
      <c r="AI1090" s="328"/>
      <c r="AJ1090" s="328"/>
      <c r="AK1090" s="328"/>
      <c r="AL1090" s="328"/>
      <c r="AM1090" s="328"/>
      <c r="AN1090" s="328"/>
      <c r="AO1090" s="328"/>
      <c r="AP1090" s="328"/>
      <c r="AQ1090" s="328"/>
      <c r="AR1090" s="328"/>
      <c r="AS1090" s="328"/>
      <c r="AT1090" s="328"/>
      <c r="AU1090" s="328"/>
      <c r="AV1090" s="328"/>
      <c r="AW1090" s="328"/>
      <c r="AX1090" s="328"/>
      <c r="AY1090" s="328"/>
      <c r="AZ1090" s="328"/>
      <c r="BA1090" s="328"/>
      <c r="BB1090" s="328"/>
      <c r="BC1090" s="328"/>
      <c r="BD1090" s="328"/>
      <c r="BE1090" s="329"/>
    </row>
    <row r="1091" spans="1:57" s="48" customFormat="1" ht="12.75" customHeight="1" x14ac:dyDescent="0.2">
      <c r="A1091" s="675" t="s">
        <v>928</v>
      </c>
      <c r="B1091" s="705" t="s">
        <v>921</v>
      </c>
      <c r="C1091" s="648"/>
      <c r="D1091" s="46" t="s">
        <v>513</v>
      </c>
      <c r="E1091" s="47">
        <f>E1092</f>
        <v>3.7609999999999998E-2</v>
      </c>
      <c r="F1091" s="47">
        <f>F1092</f>
        <v>3.7609999999999998E-2</v>
      </c>
      <c r="G1091" s="47">
        <f t="shared" ref="G1091:J1091" si="435">G1092</f>
        <v>0</v>
      </c>
      <c r="H1091" s="47">
        <f t="shared" si="435"/>
        <v>0</v>
      </c>
      <c r="I1091" s="47">
        <f t="shared" si="435"/>
        <v>0</v>
      </c>
      <c r="J1091" s="47">
        <f t="shared" si="435"/>
        <v>0</v>
      </c>
      <c r="K1091" s="261">
        <f t="shared" si="405"/>
        <v>3.7609999999999998E-2</v>
      </c>
      <c r="L1091" s="53"/>
      <c r="M1091" s="50"/>
      <c r="N1091" s="51"/>
      <c r="O1091" s="191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  <c r="AH1091" s="65"/>
      <c r="AI1091" s="65"/>
      <c r="AJ1091" s="65"/>
      <c r="AK1091" s="65"/>
      <c r="AL1091" s="65"/>
      <c r="AM1091" s="65"/>
      <c r="AN1091" s="65"/>
      <c r="AO1091" s="65"/>
      <c r="AP1091" s="65"/>
      <c r="AQ1091" s="65"/>
      <c r="AR1091" s="65"/>
      <c r="AS1091" s="65"/>
      <c r="AT1091" s="65"/>
      <c r="AU1091" s="65"/>
      <c r="AV1091" s="65"/>
      <c r="AW1091" s="65"/>
      <c r="AX1091" s="65"/>
      <c r="AY1091" s="65"/>
      <c r="AZ1091" s="65"/>
      <c r="BA1091" s="65"/>
      <c r="BB1091" s="65"/>
      <c r="BC1091" s="65"/>
      <c r="BD1091" s="65"/>
      <c r="BE1091" s="66"/>
    </row>
    <row r="1092" spans="1:57" s="330" customFormat="1" ht="53.25" customHeight="1" x14ac:dyDescent="0.2">
      <c r="A1092" s="677"/>
      <c r="B1092" s="730"/>
      <c r="C1092" s="648"/>
      <c r="D1092" s="331">
        <v>2021</v>
      </c>
      <c r="E1092" s="332">
        <f>F1092+G1092+H1092+I1092+J1092</f>
        <v>3.7609999999999998E-2</v>
      </c>
      <c r="F1092" s="332">
        <v>3.7609999999999998E-2</v>
      </c>
      <c r="G1092" s="332">
        <v>0</v>
      </c>
      <c r="H1092" s="332">
        <v>0</v>
      </c>
      <c r="I1092" s="332">
        <v>0</v>
      </c>
      <c r="J1092" s="332">
        <v>0</v>
      </c>
      <c r="K1092" s="325">
        <f t="shared" si="405"/>
        <v>3.7609999999999998E-2</v>
      </c>
      <c r="L1092" s="372"/>
      <c r="M1092" s="326"/>
      <c r="N1092" s="327"/>
      <c r="O1092" s="373"/>
      <c r="P1092" s="328"/>
      <c r="Q1092" s="328"/>
      <c r="R1092" s="328"/>
      <c r="S1092" s="328"/>
      <c r="T1092" s="328"/>
      <c r="U1092" s="328"/>
      <c r="V1092" s="328"/>
      <c r="W1092" s="328"/>
      <c r="X1092" s="328"/>
      <c r="Y1092" s="328"/>
      <c r="Z1092" s="328"/>
      <c r="AA1092" s="328"/>
      <c r="AB1092" s="328"/>
      <c r="AC1092" s="328"/>
      <c r="AD1092" s="328"/>
      <c r="AE1092" s="328"/>
      <c r="AF1092" s="328"/>
      <c r="AG1092" s="328"/>
      <c r="AH1092" s="328"/>
      <c r="AI1092" s="328"/>
      <c r="AJ1092" s="328"/>
      <c r="AK1092" s="328"/>
      <c r="AL1092" s="328"/>
      <c r="AM1092" s="328"/>
      <c r="AN1092" s="328"/>
      <c r="AO1092" s="328"/>
      <c r="AP1092" s="328"/>
      <c r="AQ1092" s="328"/>
      <c r="AR1092" s="328"/>
      <c r="AS1092" s="328"/>
      <c r="AT1092" s="328"/>
      <c r="AU1092" s="328"/>
      <c r="AV1092" s="328"/>
      <c r="AW1092" s="328"/>
      <c r="AX1092" s="328"/>
      <c r="AY1092" s="328"/>
      <c r="AZ1092" s="328"/>
      <c r="BA1092" s="328"/>
      <c r="BB1092" s="328"/>
      <c r="BC1092" s="328"/>
      <c r="BD1092" s="328"/>
      <c r="BE1092" s="329"/>
    </row>
    <row r="1093" spans="1:57" s="330" customFormat="1" ht="24" customHeight="1" x14ac:dyDescent="0.2">
      <c r="A1093" s="685" t="s">
        <v>929</v>
      </c>
      <c r="B1093" s="688" t="s">
        <v>922</v>
      </c>
      <c r="C1093" s="648"/>
      <c r="D1093" s="323" t="s">
        <v>198</v>
      </c>
      <c r="E1093" s="324">
        <f>E1094</f>
        <v>6.2899999999999998E-2</v>
      </c>
      <c r="F1093" s="324">
        <f>F1094</f>
        <v>6.2899999999999998E-2</v>
      </c>
      <c r="G1093" s="324">
        <f t="shared" ref="G1093:J1093" si="436">G1094</f>
        <v>0</v>
      </c>
      <c r="H1093" s="324">
        <f t="shared" si="436"/>
        <v>0</v>
      </c>
      <c r="I1093" s="324">
        <f t="shared" si="436"/>
        <v>0</v>
      </c>
      <c r="J1093" s="324">
        <f t="shared" si="436"/>
        <v>0</v>
      </c>
      <c r="K1093" s="325">
        <f t="shared" si="405"/>
        <v>6.2899999999999998E-2</v>
      </c>
      <c r="L1093" s="372"/>
      <c r="M1093" s="326"/>
      <c r="N1093" s="327"/>
      <c r="O1093" s="373"/>
      <c r="P1093" s="328"/>
      <c r="Q1093" s="328"/>
      <c r="R1093" s="328"/>
      <c r="S1093" s="328"/>
      <c r="T1093" s="328"/>
      <c r="U1093" s="328"/>
      <c r="V1093" s="328"/>
      <c r="W1093" s="328"/>
      <c r="X1093" s="328"/>
      <c r="Y1093" s="328"/>
      <c r="Z1093" s="328"/>
      <c r="AA1093" s="328"/>
      <c r="AB1093" s="328"/>
      <c r="AC1093" s="328"/>
      <c r="AD1093" s="328"/>
      <c r="AE1093" s="328"/>
      <c r="AF1093" s="328"/>
      <c r="AG1093" s="328"/>
      <c r="AH1093" s="328"/>
      <c r="AI1093" s="328"/>
      <c r="AJ1093" s="328"/>
      <c r="AK1093" s="328"/>
      <c r="AL1093" s="328"/>
      <c r="AM1093" s="328"/>
      <c r="AN1093" s="328"/>
      <c r="AO1093" s="328"/>
      <c r="AP1093" s="328"/>
      <c r="AQ1093" s="328"/>
      <c r="AR1093" s="328"/>
      <c r="AS1093" s="328"/>
      <c r="AT1093" s="328"/>
      <c r="AU1093" s="328"/>
      <c r="AV1093" s="328"/>
      <c r="AW1093" s="328"/>
      <c r="AX1093" s="328"/>
      <c r="AY1093" s="328"/>
      <c r="AZ1093" s="328"/>
      <c r="BA1093" s="328"/>
      <c r="BB1093" s="328"/>
      <c r="BC1093" s="328"/>
      <c r="BD1093" s="328"/>
      <c r="BE1093" s="329"/>
    </row>
    <row r="1094" spans="1:57" s="330" customFormat="1" ht="43.5" customHeight="1" x14ac:dyDescent="0.2">
      <c r="A1094" s="687"/>
      <c r="B1094" s="690"/>
      <c r="C1094" s="648"/>
      <c r="D1094" s="331">
        <v>2021</v>
      </c>
      <c r="E1094" s="332">
        <f>F1094+G1094+H1094+I1094+J1094</f>
        <v>6.2899999999999998E-2</v>
      </c>
      <c r="F1094" s="332">
        <v>6.2899999999999998E-2</v>
      </c>
      <c r="G1094" s="332">
        <v>0</v>
      </c>
      <c r="H1094" s="332">
        <v>0</v>
      </c>
      <c r="I1094" s="332">
        <v>0</v>
      </c>
      <c r="J1094" s="332">
        <v>0</v>
      </c>
      <c r="K1094" s="325">
        <f t="shared" si="405"/>
        <v>6.2899999999999998E-2</v>
      </c>
      <c r="L1094" s="372"/>
      <c r="M1094" s="326"/>
      <c r="N1094" s="327"/>
      <c r="O1094" s="373"/>
      <c r="P1094" s="328"/>
      <c r="Q1094" s="328"/>
      <c r="R1094" s="328"/>
      <c r="S1094" s="328"/>
      <c r="T1094" s="328"/>
      <c r="U1094" s="328"/>
      <c r="V1094" s="328"/>
      <c r="W1094" s="328"/>
      <c r="X1094" s="328"/>
      <c r="Y1094" s="328"/>
      <c r="Z1094" s="328"/>
      <c r="AA1094" s="328"/>
      <c r="AB1094" s="328"/>
      <c r="AC1094" s="328"/>
      <c r="AD1094" s="328"/>
      <c r="AE1094" s="328"/>
      <c r="AF1094" s="328"/>
      <c r="AG1094" s="328"/>
      <c r="AH1094" s="328"/>
      <c r="AI1094" s="328"/>
      <c r="AJ1094" s="328"/>
      <c r="AK1094" s="328"/>
      <c r="AL1094" s="328"/>
      <c r="AM1094" s="328"/>
      <c r="AN1094" s="328"/>
      <c r="AO1094" s="328"/>
      <c r="AP1094" s="328"/>
      <c r="AQ1094" s="328"/>
      <c r="AR1094" s="328"/>
      <c r="AS1094" s="328"/>
      <c r="AT1094" s="328"/>
      <c r="AU1094" s="328"/>
      <c r="AV1094" s="328"/>
      <c r="AW1094" s="328"/>
      <c r="AX1094" s="328"/>
      <c r="AY1094" s="328"/>
      <c r="AZ1094" s="328"/>
      <c r="BA1094" s="328"/>
      <c r="BB1094" s="328"/>
      <c r="BC1094" s="328"/>
      <c r="BD1094" s="328"/>
      <c r="BE1094" s="329"/>
    </row>
    <row r="1095" spans="1:57" s="330" customFormat="1" ht="32.25" customHeight="1" x14ac:dyDescent="0.2">
      <c r="A1095" s="685" t="s">
        <v>930</v>
      </c>
      <c r="B1095" s="688" t="s">
        <v>923</v>
      </c>
      <c r="C1095" s="648"/>
      <c r="D1095" s="323" t="s">
        <v>513</v>
      </c>
      <c r="E1095" s="324">
        <f>E1096</f>
        <v>1.34E-2</v>
      </c>
      <c r="F1095" s="324">
        <f>F1096</f>
        <v>1.34E-2</v>
      </c>
      <c r="G1095" s="324">
        <f t="shared" ref="G1095:J1095" si="437">G1096</f>
        <v>0</v>
      </c>
      <c r="H1095" s="324">
        <f t="shared" si="437"/>
        <v>0</v>
      </c>
      <c r="I1095" s="324">
        <f t="shared" si="437"/>
        <v>0</v>
      </c>
      <c r="J1095" s="324">
        <f t="shared" si="437"/>
        <v>0</v>
      </c>
      <c r="K1095" s="325">
        <f t="shared" si="405"/>
        <v>1.34E-2</v>
      </c>
      <c r="L1095" s="372"/>
      <c r="M1095" s="326"/>
      <c r="N1095" s="327"/>
      <c r="O1095" s="373"/>
      <c r="P1095" s="328"/>
      <c r="Q1095" s="328"/>
      <c r="R1095" s="328"/>
      <c r="S1095" s="328"/>
      <c r="T1095" s="328"/>
      <c r="U1095" s="328"/>
      <c r="V1095" s="328"/>
      <c r="W1095" s="328"/>
      <c r="X1095" s="328"/>
      <c r="Y1095" s="328"/>
      <c r="Z1095" s="328"/>
      <c r="AA1095" s="328"/>
      <c r="AB1095" s="328"/>
      <c r="AC1095" s="328"/>
      <c r="AD1095" s="328"/>
      <c r="AE1095" s="328"/>
      <c r="AF1095" s="328"/>
      <c r="AG1095" s="328"/>
      <c r="AH1095" s="328"/>
      <c r="AI1095" s="328"/>
      <c r="AJ1095" s="328"/>
      <c r="AK1095" s="328"/>
      <c r="AL1095" s="328"/>
      <c r="AM1095" s="328"/>
      <c r="AN1095" s="328"/>
      <c r="AO1095" s="328"/>
      <c r="AP1095" s="328"/>
      <c r="AQ1095" s="328"/>
      <c r="AR1095" s="328"/>
      <c r="AS1095" s="328"/>
      <c r="AT1095" s="328"/>
      <c r="AU1095" s="328"/>
      <c r="AV1095" s="328"/>
      <c r="AW1095" s="328"/>
      <c r="AX1095" s="328"/>
      <c r="AY1095" s="328"/>
      <c r="AZ1095" s="328"/>
      <c r="BA1095" s="328"/>
      <c r="BB1095" s="328"/>
      <c r="BC1095" s="328"/>
      <c r="BD1095" s="328"/>
      <c r="BE1095" s="329"/>
    </row>
    <row r="1096" spans="1:57" s="330" customFormat="1" ht="36" customHeight="1" x14ac:dyDescent="0.2">
      <c r="A1096" s="687"/>
      <c r="B1096" s="690"/>
      <c r="C1096" s="648"/>
      <c r="D1096" s="331">
        <v>2022</v>
      </c>
      <c r="E1096" s="332">
        <f>F1096+G1096+H1096+I1096+J1096</f>
        <v>1.34E-2</v>
      </c>
      <c r="F1096" s="332">
        <v>1.34E-2</v>
      </c>
      <c r="G1096" s="332">
        <v>0</v>
      </c>
      <c r="H1096" s="332">
        <v>0</v>
      </c>
      <c r="I1096" s="332">
        <v>0</v>
      </c>
      <c r="J1096" s="332">
        <v>0</v>
      </c>
      <c r="K1096" s="325">
        <f t="shared" si="405"/>
        <v>1.34E-2</v>
      </c>
      <c r="L1096" s="372"/>
      <c r="M1096" s="326"/>
      <c r="N1096" s="327"/>
      <c r="O1096" s="373"/>
      <c r="P1096" s="328"/>
      <c r="Q1096" s="328"/>
      <c r="R1096" s="328"/>
      <c r="S1096" s="328"/>
      <c r="T1096" s="328"/>
      <c r="U1096" s="328"/>
      <c r="V1096" s="328"/>
      <c r="W1096" s="328"/>
      <c r="X1096" s="328"/>
      <c r="Y1096" s="328"/>
      <c r="Z1096" s="328"/>
      <c r="AA1096" s="328"/>
      <c r="AB1096" s="328"/>
      <c r="AC1096" s="328"/>
      <c r="AD1096" s="328"/>
      <c r="AE1096" s="328"/>
      <c r="AF1096" s="328"/>
      <c r="AG1096" s="328"/>
      <c r="AH1096" s="328"/>
      <c r="AI1096" s="328"/>
      <c r="AJ1096" s="328"/>
      <c r="AK1096" s="328"/>
      <c r="AL1096" s="328"/>
      <c r="AM1096" s="328"/>
      <c r="AN1096" s="328"/>
      <c r="AO1096" s="328"/>
      <c r="AP1096" s="328"/>
      <c r="AQ1096" s="328"/>
      <c r="AR1096" s="328"/>
      <c r="AS1096" s="328"/>
      <c r="AT1096" s="328"/>
      <c r="AU1096" s="328"/>
      <c r="AV1096" s="328"/>
      <c r="AW1096" s="328"/>
      <c r="AX1096" s="328"/>
      <c r="AY1096" s="328"/>
      <c r="AZ1096" s="328"/>
      <c r="BA1096" s="328"/>
      <c r="BB1096" s="328"/>
      <c r="BC1096" s="328"/>
      <c r="BD1096" s="328"/>
      <c r="BE1096" s="329"/>
    </row>
    <row r="1097" spans="1:57" s="330" customFormat="1" ht="32.25" customHeight="1" x14ac:dyDescent="0.2">
      <c r="A1097" s="685" t="s">
        <v>931</v>
      </c>
      <c r="B1097" s="688" t="s">
        <v>924</v>
      </c>
      <c r="C1097" s="648"/>
      <c r="D1097" s="323" t="s">
        <v>513</v>
      </c>
      <c r="E1097" s="324">
        <f>E1098</f>
        <v>3.9109999999999999E-2</v>
      </c>
      <c r="F1097" s="324">
        <f>F1098</f>
        <v>3.9109999999999999E-2</v>
      </c>
      <c r="G1097" s="324">
        <f t="shared" ref="G1097:J1097" si="438">G1098</f>
        <v>0</v>
      </c>
      <c r="H1097" s="324">
        <f t="shared" si="438"/>
        <v>0</v>
      </c>
      <c r="I1097" s="324">
        <f t="shared" si="438"/>
        <v>0</v>
      </c>
      <c r="J1097" s="324">
        <f t="shared" si="438"/>
        <v>0</v>
      </c>
      <c r="K1097" s="325">
        <f t="shared" si="405"/>
        <v>3.9109999999999999E-2</v>
      </c>
      <c r="L1097" s="372"/>
      <c r="M1097" s="326"/>
      <c r="N1097" s="327"/>
      <c r="O1097" s="373"/>
      <c r="P1097" s="328"/>
      <c r="Q1097" s="328"/>
      <c r="R1097" s="328"/>
      <c r="S1097" s="328"/>
      <c r="T1097" s="328"/>
      <c r="U1097" s="328"/>
      <c r="V1097" s="328"/>
      <c r="W1097" s="328"/>
      <c r="X1097" s="328"/>
      <c r="Y1097" s="328"/>
      <c r="Z1097" s="328"/>
      <c r="AA1097" s="328"/>
      <c r="AB1097" s="328"/>
      <c r="AC1097" s="328"/>
      <c r="AD1097" s="328"/>
      <c r="AE1097" s="328"/>
      <c r="AF1097" s="328"/>
      <c r="AG1097" s="328"/>
      <c r="AH1097" s="328"/>
      <c r="AI1097" s="328"/>
      <c r="AJ1097" s="328"/>
      <c r="AK1097" s="328"/>
      <c r="AL1097" s="328"/>
      <c r="AM1097" s="328"/>
      <c r="AN1097" s="328"/>
      <c r="AO1097" s="328"/>
      <c r="AP1097" s="328"/>
      <c r="AQ1097" s="328"/>
      <c r="AR1097" s="328"/>
      <c r="AS1097" s="328"/>
      <c r="AT1097" s="328"/>
      <c r="AU1097" s="328"/>
      <c r="AV1097" s="328"/>
      <c r="AW1097" s="328"/>
      <c r="AX1097" s="328"/>
      <c r="AY1097" s="328"/>
      <c r="AZ1097" s="328"/>
      <c r="BA1097" s="328"/>
      <c r="BB1097" s="328"/>
      <c r="BC1097" s="328"/>
      <c r="BD1097" s="328"/>
      <c r="BE1097" s="329"/>
    </row>
    <row r="1098" spans="1:57" s="330" customFormat="1" ht="37.5" customHeight="1" x14ac:dyDescent="0.2">
      <c r="A1098" s="687"/>
      <c r="B1098" s="690"/>
      <c r="C1098" s="648"/>
      <c r="D1098" s="331">
        <v>2022</v>
      </c>
      <c r="E1098" s="332">
        <f>F1098+G1098+H1098+I1098+J1098</f>
        <v>3.9109999999999999E-2</v>
      </c>
      <c r="F1098" s="332">
        <v>3.9109999999999999E-2</v>
      </c>
      <c r="G1098" s="332">
        <v>0</v>
      </c>
      <c r="H1098" s="332">
        <v>0</v>
      </c>
      <c r="I1098" s="332">
        <v>0</v>
      </c>
      <c r="J1098" s="332">
        <v>0</v>
      </c>
      <c r="K1098" s="325">
        <f t="shared" si="405"/>
        <v>3.9109999999999999E-2</v>
      </c>
      <c r="L1098" s="372"/>
      <c r="M1098" s="326"/>
      <c r="N1098" s="327"/>
      <c r="O1098" s="373"/>
      <c r="P1098" s="328"/>
      <c r="Q1098" s="328"/>
      <c r="R1098" s="328"/>
      <c r="S1098" s="328"/>
      <c r="T1098" s="328"/>
      <c r="U1098" s="328"/>
      <c r="V1098" s="328"/>
      <c r="W1098" s="328"/>
      <c r="X1098" s="328"/>
      <c r="Y1098" s="328"/>
      <c r="Z1098" s="328"/>
      <c r="AA1098" s="328"/>
      <c r="AB1098" s="328"/>
      <c r="AC1098" s="328"/>
      <c r="AD1098" s="328"/>
      <c r="AE1098" s="328"/>
      <c r="AF1098" s="328"/>
      <c r="AG1098" s="328"/>
      <c r="AH1098" s="328"/>
      <c r="AI1098" s="328"/>
      <c r="AJ1098" s="328"/>
      <c r="AK1098" s="328"/>
      <c r="AL1098" s="328"/>
      <c r="AM1098" s="328"/>
      <c r="AN1098" s="328"/>
      <c r="AO1098" s="328"/>
      <c r="AP1098" s="328"/>
      <c r="AQ1098" s="328"/>
      <c r="AR1098" s="328"/>
      <c r="AS1098" s="328"/>
      <c r="AT1098" s="328"/>
      <c r="AU1098" s="328"/>
      <c r="AV1098" s="328"/>
      <c r="AW1098" s="328"/>
      <c r="AX1098" s="328"/>
      <c r="AY1098" s="328"/>
      <c r="AZ1098" s="328"/>
      <c r="BA1098" s="328"/>
      <c r="BB1098" s="328"/>
      <c r="BC1098" s="328"/>
      <c r="BD1098" s="328"/>
      <c r="BE1098" s="329"/>
    </row>
    <row r="1099" spans="1:57" s="48" customFormat="1" x14ac:dyDescent="0.2">
      <c r="A1099" s="675" t="s">
        <v>973</v>
      </c>
      <c r="B1099" s="705" t="s">
        <v>972</v>
      </c>
      <c r="C1099" s="648"/>
      <c r="D1099" s="46" t="s">
        <v>513</v>
      </c>
      <c r="E1099" s="188">
        <f>E1100</f>
        <v>4.2299999999999997E-2</v>
      </c>
      <c r="F1099" s="188">
        <f t="shared" ref="F1099:J1099" si="439">F1100</f>
        <v>4.2299999999999997E-2</v>
      </c>
      <c r="G1099" s="188">
        <f t="shared" si="439"/>
        <v>0</v>
      </c>
      <c r="H1099" s="188">
        <f t="shared" si="439"/>
        <v>0</v>
      </c>
      <c r="I1099" s="188">
        <f t="shared" si="439"/>
        <v>0</v>
      </c>
      <c r="J1099" s="188">
        <f t="shared" si="439"/>
        <v>0</v>
      </c>
      <c r="K1099" s="261">
        <f t="shared" si="405"/>
        <v>4.2299999999999997E-2</v>
      </c>
      <c r="L1099" s="53"/>
      <c r="M1099" s="50"/>
      <c r="N1099" s="51"/>
      <c r="O1099" s="191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  <c r="AF1099" s="65"/>
      <c r="AG1099" s="65"/>
      <c r="AH1099" s="65"/>
      <c r="AI1099" s="65"/>
      <c r="AJ1099" s="65"/>
      <c r="AK1099" s="65"/>
      <c r="AL1099" s="65"/>
      <c r="AM1099" s="65"/>
      <c r="AN1099" s="65"/>
      <c r="AO1099" s="65"/>
      <c r="AP1099" s="65"/>
      <c r="AQ1099" s="65"/>
      <c r="AR1099" s="65"/>
      <c r="AS1099" s="65"/>
      <c r="AT1099" s="65"/>
      <c r="AU1099" s="65"/>
      <c r="AV1099" s="65"/>
      <c r="AW1099" s="65"/>
      <c r="AX1099" s="65"/>
      <c r="AY1099" s="65"/>
      <c r="AZ1099" s="65"/>
      <c r="BA1099" s="65"/>
      <c r="BB1099" s="65"/>
      <c r="BC1099" s="65"/>
      <c r="BD1099" s="65"/>
      <c r="BE1099" s="66"/>
    </row>
    <row r="1100" spans="1:57" s="48" customFormat="1" ht="44.25" customHeight="1" x14ac:dyDescent="0.2">
      <c r="A1100" s="677"/>
      <c r="B1100" s="730"/>
      <c r="C1100" s="648"/>
      <c r="D1100" s="189">
        <v>2024</v>
      </c>
      <c r="E1100" s="188">
        <f>F1100</f>
        <v>4.2299999999999997E-2</v>
      </c>
      <c r="F1100" s="188">
        <v>4.2299999999999997E-2</v>
      </c>
      <c r="G1100" s="188">
        <v>0</v>
      </c>
      <c r="H1100" s="188">
        <v>0</v>
      </c>
      <c r="I1100" s="188">
        <v>0</v>
      </c>
      <c r="J1100" s="188">
        <v>0</v>
      </c>
      <c r="K1100" s="261">
        <f t="shared" si="405"/>
        <v>4.2299999999999997E-2</v>
      </c>
      <c r="L1100" s="53"/>
      <c r="M1100" s="50"/>
      <c r="N1100" s="51"/>
      <c r="O1100" s="191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  <c r="AF1100" s="65"/>
      <c r="AG1100" s="65"/>
      <c r="AH1100" s="65"/>
      <c r="AI1100" s="65"/>
      <c r="AJ1100" s="65"/>
      <c r="AK1100" s="65"/>
      <c r="AL1100" s="65"/>
      <c r="AM1100" s="65"/>
      <c r="AN1100" s="65"/>
      <c r="AO1100" s="65"/>
      <c r="AP1100" s="65"/>
      <c r="AQ1100" s="65"/>
      <c r="AR1100" s="65"/>
      <c r="AS1100" s="65"/>
      <c r="AT1100" s="65"/>
      <c r="AU1100" s="65"/>
      <c r="AV1100" s="65"/>
      <c r="AW1100" s="65"/>
      <c r="AX1100" s="65"/>
      <c r="AY1100" s="65"/>
      <c r="AZ1100" s="65"/>
      <c r="BA1100" s="65"/>
      <c r="BB1100" s="65"/>
      <c r="BC1100" s="65"/>
      <c r="BD1100" s="65"/>
      <c r="BE1100" s="66"/>
    </row>
    <row r="1101" spans="1:57" s="48" customFormat="1" x14ac:dyDescent="0.2">
      <c r="A1101" s="675" t="s">
        <v>975</v>
      </c>
      <c r="B1101" s="705" t="s">
        <v>974</v>
      </c>
      <c r="C1101" s="648"/>
      <c r="D1101" s="46" t="s">
        <v>513</v>
      </c>
      <c r="E1101" s="188">
        <f>E1102</f>
        <v>0.58819999999999995</v>
      </c>
      <c r="F1101" s="188">
        <f t="shared" ref="F1101:J1101" si="440">F1102</f>
        <v>0.58819999999999995</v>
      </c>
      <c r="G1101" s="188">
        <f t="shared" si="440"/>
        <v>0</v>
      </c>
      <c r="H1101" s="188">
        <f t="shared" si="440"/>
        <v>0</v>
      </c>
      <c r="I1101" s="188">
        <f t="shared" si="440"/>
        <v>0</v>
      </c>
      <c r="J1101" s="188">
        <f t="shared" si="440"/>
        <v>0</v>
      </c>
      <c r="K1101" s="261">
        <f t="shared" si="405"/>
        <v>0.58819999999999995</v>
      </c>
      <c r="L1101" s="53"/>
      <c r="M1101" s="50"/>
      <c r="N1101" s="51"/>
      <c r="O1101" s="191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  <c r="AC1101" s="65"/>
      <c r="AD1101" s="65"/>
      <c r="AE1101" s="65"/>
      <c r="AF1101" s="65"/>
      <c r="AG1101" s="65"/>
      <c r="AH1101" s="65"/>
      <c r="AI1101" s="65"/>
      <c r="AJ1101" s="65"/>
      <c r="AK1101" s="65"/>
      <c r="AL1101" s="65"/>
      <c r="AM1101" s="65"/>
      <c r="AN1101" s="65"/>
      <c r="AO1101" s="65"/>
      <c r="AP1101" s="65"/>
      <c r="AQ1101" s="65"/>
      <c r="AR1101" s="65"/>
      <c r="AS1101" s="65"/>
      <c r="AT1101" s="65"/>
      <c r="AU1101" s="65"/>
      <c r="AV1101" s="65"/>
      <c r="AW1101" s="65"/>
      <c r="AX1101" s="65"/>
      <c r="AY1101" s="65"/>
      <c r="AZ1101" s="65"/>
      <c r="BA1101" s="65"/>
      <c r="BB1101" s="65"/>
      <c r="BC1101" s="65"/>
      <c r="BD1101" s="65"/>
      <c r="BE1101" s="66"/>
    </row>
    <row r="1102" spans="1:57" s="48" customFormat="1" ht="24" customHeight="1" x14ac:dyDescent="0.2">
      <c r="A1102" s="677"/>
      <c r="B1102" s="730"/>
      <c r="C1102" s="648"/>
      <c r="D1102" s="189">
        <v>2024</v>
      </c>
      <c r="E1102" s="188">
        <f>F1102</f>
        <v>0.58819999999999995</v>
      </c>
      <c r="F1102" s="188">
        <v>0.58819999999999995</v>
      </c>
      <c r="G1102" s="188">
        <v>0</v>
      </c>
      <c r="H1102" s="188">
        <v>0</v>
      </c>
      <c r="I1102" s="188">
        <v>0</v>
      </c>
      <c r="J1102" s="188">
        <v>0</v>
      </c>
      <c r="K1102" s="261">
        <f t="shared" si="405"/>
        <v>0.58819999999999995</v>
      </c>
      <c r="L1102" s="53"/>
      <c r="M1102" s="50"/>
      <c r="N1102" s="51"/>
      <c r="O1102" s="191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  <c r="AC1102" s="65"/>
      <c r="AD1102" s="65"/>
      <c r="AE1102" s="65"/>
      <c r="AF1102" s="65"/>
      <c r="AG1102" s="65"/>
      <c r="AH1102" s="65"/>
      <c r="AI1102" s="65"/>
      <c r="AJ1102" s="65"/>
      <c r="AK1102" s="65"/>
      <c r="AL1102" s="65"/>
      <c r="AM1102" s="65"/>
      <c r="AN1102" s="65"/>
      <c r="AO1102" s="65"/>
      <c r="AP1102" s="65"/>
      <c r="AQ1102" s="65"/>
      <c r="AR1102" s="65"/>
      <c r="AS1102" s="65"/>
      <c r="AT1102" s="65"/>
      <c r="AU1102" s="65"/>
      <c r="AV1102" s="65"/>
      <c r="AW1102" s="65"/>
      <c r="AX1102" s="65"/>
      <c r="AY1102" s="65"/>
      <c r="AZ1102" s="65"/>
      <c r="BA1102" s="65"/>
      <c r="BB1102" s="65"/>
      <c r="BC1102" s="65"/>
      <c r="BD1102" s="65"/>
      <c r="BE1102" s="66"/>
    </row>
    <row r="1103" spans="1:57" s="48" customFormat="1" ht="24" customHeight="1" x14ac:dyDescent="0.2">
      <c r="A1103" s="675" t="s">
        <v>978</v>
      </c>
      <c r="B1103" s="705" t="s">
        <v>977</v>
      </c>
      <c r="C1103" s="648"/>
      <c r="D1103" s="46" t="s">
        <v>513</v>
      </c>
      <c r="E1103" s="188">
        <f>E1104</f>
        <v>3.7679999999999998E-2</v>
      </c>
      <c r="F1103" s="188">
        <f t="shared" ref="F1103:J1103" si="441">F1104</f>
        <v>3.7679999999999998E-2</v>
      </c>
      <c r="G1103" s="188">
        <f t="shared" si="441"/>
        <v>0</v>
      </c>
      <c r="H1103" s="188">
        <f t="shared" si="441"/>
        <v>0</v>
      </c>
      <c r="I1103" s="188">
        <f t="shared" si="441"/>
        <v>0</v>
      </c>
      <c r="J1103" s="188">
        <f t="shared" si="441"/>
        <v>0</v>
      </c>
      <c r="K1103" s="261">
        <f t="shared" si="405"/>
        <v>3.7679999999999998E-2</v>
      </c>
      <c r="L1103" s="53"/>
      <c r="M1103" s="50"/>
      <c r="N1103" s="51"/>
      <c r="O1103" s="191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  <c r="AC1103" s="65"/>
      <c r="AD1103" s="65"/>
      <c r="AE1103" s="65"/>
      <c r="AF1103" s="65"/>
      <c r="AG1103" s="65"/>
      <c r="AH1103" s="65"/>
      <c r="AI1103" s="65"/>
      <c r="AJ1103" s="65"/>
      <c r="AK1103" s="65"/>
      <c r="AL1103" s="65"/>
      <c r="AM1103" s="65"/>
      <c r="AN1103" s="65"/>
      <c r="AO1103" s="65"/>
      <c r="AP1103" s="65"/>
      <c r="AQ1103" s="65"/>
      <c r="AR1103" s="65"/>
      <c r="AS1103" s="65"/>
      <c r="AT1103" s="65"/>
      <c r="AU1103" s="65"/>
      <c r="AV1103" s="65"/>
      <c r="AW1103" s="65"/>
      <c r="AX1103" s="65"/>
      <c r="AY1103" s="65"/>
      <c r="AZ1103" s="65"/>
      <c r="BA1103" s="65"/>
      <c r="BB1103" s="65"/>
      <c r="BC1103" s="65"/>
      <c r="BD1103" s="65"/>
      <c r="BE1103" s="66"/>
    </row>
    <row r="1104" spans="1:57" s="48" customFormat="1" ht="43.5" customHeight="1" x14ac:dyDescent="0.2">
      <c r="A1104" s="677"/>
      <c r="B1104" s="730"/>
      <c r="C1104" s="632"/>
      <c r="D1104" s="456">
        <v>2023</v>
      </c>
      <c r="E1104" s="188">
        <f>F1104</f>
        <v>3.7679999999999998E-2</v>
      </c>
      <c r="F1104" s="188">
        <v>3.7679999999999998E-2</v>
      </c>
      <c r="G1104" s="188">
        <v>0</v>
      </c>
      <c r="H1104" s="188">
        <v>0</v>
      </c>
      <c r="I1104" s="188">
        <v>0</v>
      </c>
      <c r="J1104" s="188">
        <v>0</v>
      </c>
      <c r="K1104" s="261">
        <f t="shared" ref="K1104:K1166" si="442">F1104+G1104+H1104+I1104+J1104</f>
        <v>3.7679999999999998E-2</v>
      </c>
      <c r="L1104" s="53"/>
      <c r="M1104" s="50"/>
      <c r="N1104" s="51"/>
      <c r="O1104" s="191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  <c r="AF1104" s="65"/>
      <c r="AG1104" s="65"/>
      <c r="AH1104" s="65"/>
      <c r="AI1104" s="65"/>
      <c r="AJ1104" s="65"/>
      <c r="AK1104" s="65"/>
      <c r="AL1104" s="65"/>
      <c r="AM1104" s="65"/>
      <c r="AN1104" s="65"/>
      <c r="AO1104" s="65"/>
      <c r="AP1104" s="65"/>
      <c r="AQ1104" s="65"/>
      <c r="AR1104" s="65"/>
      <c r="AS1104" s="65"/>
      <c r="AT1104" s="65"/>
      <c r="AU1104" s="65"/>
      <c r="AV1104" s="65"/>
      <c r="AW1104" s="65"/>
      <c r="AX1104" s="65"/>
      <c r="AY1104" s="65"/>
      <c r="AZ1104" s="65"/>
      <c r="BA1104" s="65"/>
      <c r="BB1104" s="65"/>
      <c r="BC1104" s="65"/>
      <c r="BD1104" s="65"/>
      <c r="BE1104" s="66"/>
    </row>
    <row r="1105" spans="1:57" s="48" customFormat="1" x14ac:dyDescent="0.2">
      <c r="A1105" s="675" t="s">
        <v>993</v>
      </c>
      <c r="B1105" s="728" t="s">
        <v>994</v>
      </c>
      <c r="C1105" s="171"/>
      <c r="D1105" s="46" t="s">
        <v>513</v>
      </c>
      <c r="E1105" s="188">
        <f>E1106+E1107+E1108</f>
        <v>2.6711</v>
      </c>
      <c r="F1105" s="188">
        <f t="shared" ref="F1105:J1108" si="443">F1106+F1107+F1108</f>
        <v>2.6711</v>
      </c>
      <c r="G1105" s="188">
        <f t="shared" si="443"/>
        <v>0</v>
      </c>
      <c r="H1105" s="188">
        <f t="shared" si="443"/>
        <v>0</v>
      </c>
      <c r="I1105" s="188">
        <f t="shared" si="443"/>
        <v>0</v>
      </c>
      <c r="J1105" s="188">
        <f t="shared" si="443"/>
        <v>0</v>
      </c>
      <c r="K1105" s="261">
        <f t="shared" si="442"/>
        <v>2.6711</v>
      </c>
      <c r="L1105" s="53"/>
      <c r="M1105" s="50"/>
      <c r="N1105" s="51"/>
      <c r="O1105" s="191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  <c r="AF1105" s="65"/>
      <c r="AG1105" s="65"/>
      <c r="AH1105" s="65"/>
      <c r="AI1105" s="65"/>
      <c r="AJ1105" s="65"/>
      <c r="AK1105" s="65"/>
      <c r="AL1105" s="65"/>
      <c r="AM1105" s="65"/>
      <c r="AN1105" s="65"/>
      <c r="AO1105" s="65"/>
      <c r="AP1105" s="65"/>
      <c r="AQ1105" s="65"/>
      <c r="AR1105" s="65"/>
      <c r="AS1105" s="65"/>
      <c r="AT1105" s="65"/>
      <c r="AU1105" s="65"/>
      <c r="AV1105" s="65"/>
      <c r="AW1105" s="65"/>
      <c r="AX1105" s="65"/>
      <c r="AY1105" s="65"/>
      <c r="AZ1105" s="65"/>
      <c r="BA1105" s="65"/>
      <c r="BB1105" s="65"/>
      <c r="BC1105" s="65"/>
      <c r="BD1105" s="65"/>
      <c r="BE1105" s="66"/>
    </row>
    <row r="1106" spans="1:57" s="48" customFormat="1" x14ac:dyDescent="0.2">
      <c r="A1106" s="676"/>
      <c r="B1106" s="729"/>
      <c r="C1106" s="171"/>
      <c r="D1106" s="189">
        <v>2023</v>
      </c>
      <c r="E1106" s="188">
        <f>F1106</f>
        <v>0.83989999999999998</v>
      </c>
      <c r="F1106" s="188">
        <v>0.83989999999999998</v>
      </c>
      <c r="G1106" s="188">
        <f t="shared" si="443"/>
        <v>0</v>
      </c>
      <c r="H1106" s="188">
        <f t="shared" si="443"/>
        <v>0</v>
      </c>
      <c r="I1106" s="188">
        <f t="shared" si="443"/>
        <v>0</v>
      </c>
      <c r="J1106" s="188">
        <f t="shared" si="443"/>
        <v>0</v>
      </c>
      <c r="K1106" s="261">
        <f t="shared" si="442"/>
        <v>0.83989999999999998</v>
      </c>
      <c r="L1106" s="53"/>
      <c r="M1106" s="50"/>
      <c r="N1106" s="51"/>
      <c r="O1106" s="191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  <c r="AC1106" s="65"/>
      <c r="AD1106" s="65"/>
      <c r="AE1106" s="65"/>
      <c r="AF1106" s="65"/>
      <c r="AG1106" s="65"/>
      <c r="AH1106" s="65"/>
      <c r="AI1106" s="65"/>
      <c r="AJ1106" s="65"/>
      <c r="AK1106" s="65"/>
      <c r="AL1106" s="65"/>
      <c r="AM1106" s="65"/>
      <c r="AN1106" s="65"/>
      <c r="AO1106" s="65"/>
      <c r="AP1106" s="65"/>
      <c r="AQ1106" s="65"/>
      <c r="AR1106" s="65"/>
      <c r="AS1106" s="65"/>
      <c r="AT1106" s="65"/>
      <c r="AU1106" s="65"/>
      <c r="AV1106" s="65"/>
      <c r="AW1106" s="65"/>
      <c r="AX1106" s="65"/>
      <c r="AY1106" s="65"/>
      <c r="AZ1106" s="65"/>
      <c r="BA1106" s="65"/>
      <c r="BB1106" s="65"/>
      <c r="BC1106" s="65"/>
      <c r="BD1106" s="65"/>
      <c r="BE1106" s="66"/>
    </row>
    <row r="1107" spans="1:57" s="48" customFormat="1" x14ac:dyDescent="0.2">
      <c r="A1107" s="676"/>
      <c r="B1107" s="729"/>
      <c r="C1107" s="171"/>
      <c r="D1107" s="189">
        <v>2024</v>
      </c>
      <c r="E1107" s="188">
        <f t="shared" ref="E1107:E1108" si="444">F1107</f>
        <v>0.89770000000000005</v>
      </c>
      <c r="F1107" s="188">
        <v>0.89770000000000005</v>
      </c>
      <c r="G1107" s="188">
        <f t="shared" si="443"/>
        <v>0</v>
      </c>
      <c r="H1107" s="188">
        <f t="shared" si="443"/>
        <v>0</v>
      </c>
      <c r="I1107" s="188">
        <f t="shared" si="443"/>
        <v>0</v>
      </c>
      <c r="J1107" s="188">
        <f t="shared" si="443"/>
        <v>0</v>
      </c>
      <c r="K1107" s="261">
        <f t="shared" si="442"/>
        <v>0.89770000000000005</v>
      </c>
      <c r="L1107" s="53"/>
      <c r="M1107" s="50"/>
      <c r="N1107" s="51"/>
      <c r="O1107" s="191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  <c r="AC1107" s="65"/>
      <c r="AD1107" s="65"/>
      <c r="AE1107" s="65"/>
      <c r="AF1107" s="65"/>
      <c r="AG1107" s="65"/>
      <c r="AH1107" s="65"/>
      <c r="AI1107" s="65"/>
      <c r="AJ1107" s="65"/>
      <c r="AK1107" s="65"/>
      <c r="AL1107" s="65"/>
      <c r="AM1107" s="65"/>
      <c r="AN1107" s="65"/>
      <c r="AO1107" s="65"/>
      <c r="AP1107" s="65"/>
      <c r="AQ1107" s="65"/>
      <c r="AR1107" s="65"/>
      <c r="AS1107" s="65"/>
      <c r="AT1107" s="65"/>
      <c r="AU1107" s="65"/>
      <c r="AV1107" s="65"/>
      <c r="AW1107" s="65"/>
      <c r="AX1107" s="65"/>
      <c r="AY1107" s="65"/>
      <c r="AZ1107" s="65"/>
      <c r="BA1107" s="65"/>
      <c r="BB1107" s="65"/>
      <c r="BC1107" s="65"/>
      <c r="BD1107" s="65"/>
      <c r="BE1107" s="66"/>
    </row>
    <row r="1108" spans="1:57" s="48" customFormat="1" x14ac:dyDescent="0.2">
      <c r="A1108" s="676"/>
      <c r="B1108" s="729"/>
      <c r="C1108" s="171"/>
      <c r="D1108" s="189">
        <v>2025</v>
      </c>
      <c r="E1108" s="188">
        <f t="shared" si="444"/>
        <v>0.9335</v>
      </c>
      <c r="F1108" s="188">
        <v>0.9335</v>
      </c>
      <c r="G1108" s="188">
        <f t="shared" si="443"/>
        <v>0</v>
      </c>
      <c r="H1108" s="188">
        <f t="shared" si="443"/>
        <v>0</v>
      </c>
      <c r="I1108" s="188">
        <f t="shared" si="443"/>
        <v>0</v>
      </c>
      <c r="J1108" s="188">
        <f t="shared" si="443"/>
        <v>0</v>
      </c>
      <c r="K1108" s="261">
        <f t="shared" si="442"/>
        <v>0.9335</v>
      </c>
      <c r="L1108" s="53"/>
      <c r="M1108" s="50"/>
      <c r="N1108" s="51"/>
      <c r="O1108" s="191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  <c r="AF1108" s="65"/>
      <c r="AG1108" s="65"/>
      <c r="AH1108" s="65"/>
      <c r="AI1108" s="65"/>
      <c r="AJ1108" s="65"/>
      <c r="AK1108" s="65"/>
      <c r="AL1108" s="65"/>
      <c r="AM1108" s="65"/>
      <c r="AN1108" s="65"/>
      <c r="AO1108" s="65"/>
      <c r="AP1108" s="65"/>
      <c r="AQ1108" s="65"/>
      <c r="AR1108" s="65"/>
      <c r="AS1108" s="65"/>
      <c r="AT1108" s="65"/>
      <c r="AU1108" s="65"/>
      <c r="AV1108" s="65"/>
      <c r="AW1108" s="65"/>
      <c r="AX1108" s="65"/>
      <c r="AY1108" s="65"/>
      <c r="AZ1108" s="65"/>
      <c r="BA1108" s="65"/>
      <c r="BB1108" s="65"/>
      <c r="BC1108" s="65"/>
      <c r="BD1108" s="65"/>
      <c r="BE1108" s="66"/>
    </row>
    <row r="1109" spans="1:57" s="48" customFormat="1" ht="11.25" customHeight="1" x14ac:dyDescent="0.2">
      <c r="A1109" s="714" t="s">
        <v>715</v>
      </c>
      <c r="B1109" s="649" t="s">
        <v>615</v>
      </c>
      <c r="C1109" s="727" t="s">
        <v>992</v>
      </c>
      <c r="D1109" s="46" t="s">
        <v>198</v>
      </c>
      <c r="E1109" s="58">
        <f>SUM(E1110:E1117)</f>
        <v>15.13419</v>
      </c>
      <c r="F1109" s="58">
        <f>SUM(F1110:F1117)</f>
        <v>15.13419</v>
      </c>
      <c r="G1109" s="58">
        <f t="shared" ref="G1109:I1109" si="445">SUM(G1110:G1117)</f>
        <v>0</v>
      </c>
      <c r="H1109" s="58">
        <f t="shared" si="445"/>
        <v>0</v>
      </c>
      <c r="I1109" s="58">
        <f t="shared" si="445"/>
        <v>0</v>
      </c>
      <c r="J1109" s="58">
        <f>J1118+J1135</f>
        <v>0</v>
      </c>
      <c r="K1109" s="261">
        <f t="shared" si="442"/>
        <v>15.13419</v>
      </c>
      <c r="L1109" s="218"/>
      <c r="M1109" s="50"/>
      <c r="N1109" s="51"/>
      <c r="O1109" s="695" t="s">
        <v>600</v>
      </c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  <c r="AF1109" s="65"/>
      <c r="AG1109" s="65"/>
      <c r="AH1109" s="65"/>
      <c r="AI1109" s="65"/>
      <c r="AJ1109" s="65"/>
      <c r="AK1109" s="65"/>
      <c r="AL1109" s="65"/>
      <c r="AM1109" s="65"/>
      <c r="AN1109" s="65"/>
      <c r="AO1109" s="65"/>
      <c r="AP1109" s="65"/>
      <c r="AQ1109" s="65"/>
      <c r="AR1109" s="65"/>
      <c r="AS1109" s="65"/>
      <c r="AT1109" s="65"/>
      <c r="AU1109" s="65"/>
      <c r="AV1109" s="65"/>
      <c r="AW1109" s="65"/>
      <c r="AX1109" s="65"/>
      <c r="AY1109" s="65"/>
      <c r="AZ1109" s="65"/>
      <c r="BA1109" s="65"/>
      <c r="BB1109" s="65"/>
      <c r="BC1109" s="65"/>
      <c r="BD1109" s="65"/>
      <c r="BE1109" s="66"/>
    </row>
    <row r="1110" spans="1:57" s="330" customFormat="1" x14ac:dyDescent="0.2">
      <c r="A1110" s="715"/>
      <c r="B1110" s="650"/>
      <c r="C1110" s="727"/>
      <c r="D1110" s="323">
        <v>2019</v>
      </c>
      <c r="E1110" s="440">
        <f>E1119+E1144</f>
        <v>1.27329</v>
      </c>
      <c r="F1110" s="440">
        <f>F1119+F1144</f>
        <v>1.27329</v>
      </c>
      <c r="G1110" s="440">
        <f t="shared" ref="F1110:J1117" si="446">G1119+G1144</f>
        <v>0</v>
      </c>
      <c r="H1110" s="440">
        <f t="shared" si="446"/>
        <v>0</v>
      </c>
      <c r="I1110" s="440">
        <f t="shared" si="446"/>
        <v>0</v>
      </c>
      <c r="J1110" s="440">
        <f t="shared" si="446"/>
        <v>0</v>
      </c>
      <c r="K1110" s="325">
        <f t="shared" si="442"/>
        <v>1.27329</v>
      </c>
      <c r="L1110" s="440"/>
      <c r="M1110" s="326"/>
      <c r="N1110" s="327"/>
      <c r="O1110" s="717"/>
      <c r="P1110" s="328"/>
      <c r="Q1110" s="328"/>
      <c r="R1110" s="328"/>
      <c r="S1110" s="328"/>
      <c r="T1110" s="328"/>
      <c r="U1110" s="328"/>
      <c r="V1110" s="328"/>
      <c r="W1110" s="328"/>
      <c r="X1110" s="328"/>
      <c r="Y1110" s="328"/>
      <c r="Z1110" s="328"/>
      <c r="AA1110" s="328"/>
      <c r="AB1110" s="328"/>
      <c r="AC1110" s="328"/>
      <c r="AD1110" s="328"/>
      <c r="AE1110" s="328"/>
      <c r="AF1110" s="328"/>
      <c r="AG1110" s="328"/>
      <c r="AH1110" s="328"/>
      <c r="AI1110" s="328"/>
      <c r="AJ1110" s="328"/>
      <c r="AK1110" s="328"/>
      <c r="AL1110" s="328"/>
      <c r="AM1110" s="328"/>
      <c r="AN1110" s="328"/>
      <c r="AO1110" s="328"/>
      <c r="AP1110" s="328"/>
      <c r="AQ1110" s="328"/>
      <c r="AR1110" s="328"/>
      <c r="AS1110" s="328"/>
      <c r="AT1110" s="328"/>
      <c r="AU1110" s="328"/>
      <c r="AV1110" s="328"/>
      <c r="AW1110" s="328"/>
      <c r="AX1110" s="328"/>
      <c r="AY1110" s="328"/>
      <c r="AZ1110" s="328"/>
      <c r="BA1110" s="328"/>
      <c r="BB1110" s="328"/>
      <c r="BC1110" s="328"/>
      <c r="BD1110" s="328"/>
      <c r="BE1110" s="329"/>
    </row>
    <row r="1111" spans="1:57" s="330" customFormat="1" x14ac:dyDescent="0.2">
      <c r="A1111" s="715"/>
      <c r="B1111" s="650"/>
      <c r="C1111" s="727"/>
      <c r="D1111" s="323">
        <v>2020</v>
      </c>
      <c r="E1111" s="440">
        <f t="shared" ref="E1111:E1117" si="447">E1120+E1145</f>
        <v>1.1821999999999999</v>
      </c>
      <c r="F1111" s="440">
        <f>F1120+F1137</f>
        <v>1.1821999999999999</v>
      </c>
      <c r="G1111" s="440">
        <f t="shared" si="446"/>
        <v>0</v>
      </c>
      <c r="H1111" s="440">
        <f t="shared" si="446"/>
        <v>0</v>
      </c>
      <c r="I1111" s="440">
        <f t="shared" si="446"/>
        <v>0</v>
      </c>
      <c r="J1111" s="440">
        <f t="shared" si="446"/>
        <v>0</v>
      </c>
      <c r="K1111" s="325">
        <f t="shared" si="442"/>
        <v>1.1821999999999999</v>
      </c>
      <c r="L1111" s="440"/>
      <c r="M1111" s="326"/>
      <c r="N1111" s="327"/>
      <c r="O1111" s="717"/>
      <c r="P1111" s="328"/>
      <c r="Q1111" s="328"/>
      <c r="R1111" s="328"/>
      <c r="S1111" s="328"/>
      <c r="T1111" s="328"/>
      <c r="U1111" s="328"/>
      <c r="V1111" s="328"/>
      <c r="W1111" s="328"/>
      <c r="X1111" s="328"/>
      <c r="Y1111" s="328"/>
      <c r="Z1111" s="328"/>
      <c r="AA1111" s="328"/>
      <c r="AB1111" s="328"/>
      <c r="AC1111" s="328"/>
      <c r="AD1111" s="328"/>
      <c r="AE1111" s="328"/>
      <c r="AF1111" s="328"/>
      <c r="AG1111" s="328"/>
      <c r="AH1111" s="328"/>
      <c r="AI1111" s="328"/>
      <c r="AJ1111" s="328"/>
      <c r="AK1111" s="328"/>
      <c r="AL1111" s="328"/>
      <c r="AM1111" s="328"/>
      <c r="AN1111" s="328"/>
      <c r="AO1111" s="328"/>
      <c r="AP1111" s="328"/>
      <c r="AQ1111" s="328"/>
      <c r="AR1111" s="328"/>
      <c r="AS1111" s="328"/>
      <c r="AT1111" s="328"/>
      <c r="AU1111" s="328"/>
      <c r="AV1111" s="328"/>
      <c r="AW1111" s="328"/>
      <c r="AX1111" s="328"/>
      <c r="AY1111" s="328"/>
      <c r="AZ1111" s="328"/>
      <c r="BA1111" s="328"/>
      <c r="BB1111" s="328"/>
      <c r="BC1111" s="328"/>
      <c r="BD1111" s="328"/>
      <c r="BE1111" s="329"/>
    </row>
    <row r="1112" spans="1:57" s="330" customFormat="1" x14ac:dyDescent="0.2">
      <c r="A1112" s="715"/>
      <c r="B1112" s="650"/>
      <c r="C1112" s="727"/>
      <c r="D1112" s="323">
        <v>2021</v>
      </c>
      <c r="E1112" s="440">
        <f t="shared" si="447"/>
        <v>1.2294</v>
      </c>
      <c r="F1112" s="440">
        <f t="shared" si="446"/>
        <v>1.2294</v>
      </c>
      <c r="G1112" s="440">
        <f t="shared" si="446"/>
        <v>0</v>
      </c>
      <c r="H1112" s="440">
        <f t="shared" si="446"/>
        <v>0</v>
      </c>
      <c r="I1112" s="440">
        <f t="shared" si="446"/>
        <v>0</v>
      </c>
      <c r="J1112" s="440">
        <f t="shared" si="446"/>
        <v>0</v>
      </c>
      <c r="K1112" s="325">
        <f t="shared" si="442"/>
        <v>1.2294</v>
      </c>
      <c r="L1112" s="440"/>
      <c r="M1112" s="326"/>
      <c r="N1112" s="327"/>
      <c r="O1112" s="717"/>
      <c r="P1112" s="328"/>
      <c r="Q1112" s="328"/>
      <c r="R1112" s="328"/>
      <c r="S1112" s="328"/>
      <c r="T1112" s="328"/>
      <c r="U1112" s="328"/>
      <c r="V1112" s="328"/>
      <c r="W1112" s="328"/>
      <c r="X1112" s="328"/>
      <c r="Y1112" s="328"/>
      <c r="Z1112" s="328"/>
      <c r="AA1112" s="328"/>
      <c r="AB1112" s="328"/>
      <c r="AC1112" s="328"/>
      <c r="AD1112" s="328"/>
      <c r="AE1112" s="328"/>
      <c r="AF1112" s="328"/>
      <c r="AG1112" s="328"/>
      <c r="AH1112" s="328"/>
      <c r="AI1112" s="328"/>
      <c r="AJ1112" s="328"/>
      <c r="AK1112" s="328"/>
      <c r="AL1112" s="328"/>
      <c r="AM1112" s="328"/>
      <c r="AN1112" s="328"/>
      <c r="AO1112" s="328"/>
      <c r="AP1112" s="328"/>
      <c r="AQ1112" s="328"/>
      <c r="AR1112" s="328"/>
      <c r="AS1112" s="328"/>
      <c r="AT1112" s="328"/>
      <c r="AU1112" s="328"/>
      <c r="AV1112" s="328"/>
      <c r="AW1112" s="328"/>
      <c r="AX1112" s="328"/>
      <c r="AY1112" s="328"/>
      <c r="AZ1112" s="328"/>
      <c r="BA1112" s="328"/>
      <c r="BB1112" s="328"/>
      <c r="BC1112" s="328"/>
      <c r="BD1112" s="328"/>
      <c r="BE1112" s="329"/>
    </row>
    <row r="1113" spans="1:57" s="330" customFormat="1" x14ac:dyDescent="0.2">
      <c r="A1113" s="716"/>
      <c r="B1113" s="701"/>
      <c r="C1113" s="727"/>
      <c r="D1113" s="323">
        <v>2022</v>
      </c>
      <c r="E1113" s="440">
        <f t="shared" si="447"/>
        <v>1.2786999999999999</v>
      </c>
      <c r="F1113" s="440">
        <f t="shared" si="446"/>
        <v>1.2786999999999999</v>
      </c>
      <c r="G1113" s="440">
        <f t="shared" si="446"/>
        <v>0</v>
      </c>
      <c r="H1113" s="440">
        <f t="shared" si="446"/>
        <v>0</v>
      </c>
      <c r="I1113" s="440">
        <f t="shared" si="446"/>
        <v>0</v>
      </c>
      <c r="J1113" s="440">
        <f t="shared" si="446"/>
        <v>0</v>
      </c>
      <c r="K1113" s="325">
        <f t="shared" si="442"/>
        <v>1.2786999999999999</v>
      </c>
      <c r="L1113" s="440"/>
      <c r="M1113" s="326"/>
      <c r="N1113" s="327"/>
      <c r="O1113" s="717"/>
      <c r="P1113" s="328"/>
      <c r="Q1113" s="328"/>
      <c r="R1113" s="328"/>
      <c r="S1113" s="328"/>
      <c r="T1113" s="328"/>
      <c r="U1113" s="328"/>
      <c r="V1113" s="328"/>
      <c r="W1113" s="328"/>
      <c r="X1113" s="328"/>
      <c r="Y1113" s="328"/>
      <c r="Z1113" s="328"/>
      <c r="AA1113" s="328"/>
      <c r="AB1113" s="328"/>
      <c r="AC1113" s="328"/>
      <c r="AD1113" s="328"/>
      <c r="AE1113" s="328"/>
      <c r="AF1113" s="328"/>
      <c r="AG1113" s="328"/>
      <c r="AH1113" s="328"/>
      <c r="AI1113" s="328"/>
      <c r="AJ1113" s="328"/>
      <c r="AK1113" s="328"/>
      <c r="AL1113" s="328"/>
      <c r="AM1113" s="328"/>
      <c r="AN1113" s="328"/>
      <c r="AO1113" s="328"/>
      <c r="AP1113" s="328"/>
      <c r="AQ1113" s="328"/>
      <c r="AR1113" s="328"/>
      <c r="AS1113" s="328"/>
      <c r="AT1113" s="328"/>
      <c r="AU1113" s="328"/>
      <c r="AV1113" s="328"/>
      <c r="AW1113" s="328"/>
      <c r="AX1113" s="328"/>
      <c r="AY1113" s="328"/>
      <c r="AZ1113" s="328"/>
      <c r="BA1113" s="328"/>
      <c r="BB1113" s="328"/>
      <c r="BC1113" s="328"/>
      <c r="BD1113" s="328"/>
      <c r="BE1113" s="329"/>
    </row>
    <row r="1114" spans="1:57" s="330" customFormat="1" x14ac:dyDescent="0.2">
      <c r="A1114" s="716"/>
      <c r="B1114" s="701"/>
      <c r="C1114" s="727"/>
      <c r="D1114" s="323">
        <v>2023</v>
      </c>
      <c r="E1114" s="440">
        <f t="shared" si="447"/>
        <v>1.8199000000000001</v>
      </c>
      <c r="F1114" s="440">
        <f t="shared" si="446"/>
        <v>1.8199000000000001</v>
      </c>
      <c r="G1114" s="440">
        <f t="shared" si="446"/>
        <v>0</v>
      </c>
      <c r="H1114" s="440">
        <f t="shared" si="446"/>
        <v>0</v>
      </c>
      <c r="I1114" s="440">
        <f t="shared" si="446"/>
        <v>0</v>
      </c>
      <c r="J1114" s="440">
        <f t="shared" si="446"/>
        <v>0</v>
      </c>
      <c r="K1114" s="325">
        <f t="shared" si="442"/>
        <v>1.8199000000000001</v>
      </c>
      <c r="L1114" s="440"/>
      <c r="M1114" s="326"/>
      <c r="N1114" s="327"/>
      <c r="O1114" s="717"/>
      <c r="P1114" s="328"/>
      <c r="Q1114" s="328"/>
      <c r="R1114" s="328"/>
      <c r="S1114" s="328"/>
      <c r="T1114" s="328"/>
      <c r="U1114" s="328"/>
      <c r="V1114" s="328"/>
      <c r="W1114" s="328"/>
      <c r="X1114" s="328"/>
      <c r="Y1114" s="328"/>
      <c r="Z1114" s="328"/>
      <c r="AA1114" s="328"/>
      <c r="AB1114" s="328"/>
      <c r="AC1114" s="328"/>
      <c r="AD1114" s="328"/>
      <c r="AE1114" s="328"/>
      <c r="AF1114" s="328"/>
      <c r="AG1114" s="328"/>
      <c r="AH1114" s="328"/>
      <c r="AI1114" s="328"/>
      <c r="AJ1114" s="328"/>
      <c r="AK1114" s="328"/>
      <c r="AL1114" s="328"/>
      <c r="AM1114" s="328"/>
      <c r="AN1114" s="328"/>
      <c r="AO1114" s="328"/>
      <c r="AP1114" s="328"/>
      <c r="AQ1114" s="328"/>
      <c r="AR1114" s="328"/>
      <c r="AS1114" s="328"/>
      <c r="AT1114" s="328"/>
      <c r="AU1114" s="328"/>
      <c r="AV1114" s="328"/>
      <c r="AW1114" s="328"/>
      <c r="AX1114" s="328"/>
      <c r="AY1114" s="328"/>
      <c r="AZ1114" s="328"/>
      <c r="BA1114" s="328"/>
      <c r="BB1114" s="328"/>
      <c r="BC1114" s="328"/>
      <c r="BD1114" s="328"/>
      <c r="BE1114" s="329"/>
    </row>
    <row r="1115" spans="1:57" s="48" customFormat="1" x14ac:dyDescent="0.2">
      <c r="A1115" s="716"/>
      <c r="B1115" s="701"/>
      <c r="C1115" s="727"/>
      <c r="D1115" s="46">
        <v>2024</v>
      </c>
      <c r="E1115" s="218">
        <f t="shared" si="447"/>
        <v>1.2056</v>
      </c>
      <c r="F1115" s="218">
        <f t="shared" si="446"/>
        <v>1.2056</v>
      </c>
      <c r="G1115" s="218">
        <f t="shared" si="446"/>
        <v>0</v>
      </c>
      <c r="H1115" s="218">
        <f t="shared" si="446"/>
        <v>0</v>
      </c>
      <c r="I1115" s="218">
        <f t="shared" si="446"/>
        <v>0</v>
      </c>
      <c r="J1115" s="218">
        <f t="shared" si="446"/>
        <v>0</v>
      </c>
      <c r="K1115" s="261">
        <f t="shared" si="442"/>
        <v>1.2056</v>
      </c>
      <c r="L1115" s="218"/>
      <c r="M1115" s="50"/>
      <c r="N1115" s="51"/>
      <c r="O1115" s="717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  <c r="AF1115" s="65"/>
      <c r="AG1115" s="65"/>
      <c r="AH1115" s="65"/>
      <c r="AI1115" s="65"/>
      <c r="AJ1115" s="65"/>
      <c r="AK1115" s="65"/>
      <c r="AL1115" s="65"/>
      <c r="AM1115" s="65"/>
      <c r="AN1115" s="65"/>
      <c r="AO1115" s="65"/>
      <c r="AP1115" s="65"/>
      <c r="AQ1115" s="65"/>
      <c r="AR1115" s="65"/>
      <c r="AS1115" s="65"/>
      <c r="AT1115" s="65"/>
      <c r="AU1115" s="65"/>
      <c r="AV1115" s="65"/>
      <c r="AW1115" s="65"/>
      <c r="AX1115" s="65"/>
      <c r="AY1115" s="65"/>
      <c r="AZ1115" s="65"/>
      <c r="BA1115" s="65"/>
      <c r="BB1115" s="65"/>
      <c r="BC1115" s="65"/>
      <c r="BD1115" s="65"/>
      <c r="BE1115" s="66"/>
    </row>
    <row r="1116" spans="1:57" s="48" customFormat="1" x14ac:dyDescent="0.2">
      <c r="A1116" s="716"/>
      <c r="B1116" s="701"/>
      <c r="C1116" s="727"/>
      <c r="D1116" s="46">
        <v>2025</v>
      </c>
      <c r="E1116" s="218">
        <f t="shared" si="447"/>
        <v>2.3277999999999999</v>
      </c>
      <c r="F1116" s="218">
        <f t="shared" si="446"/>
        <v>2.3277999999999999</v>
      </c>
      <c r="G1116" s="218">
        <f t="shared" si="446"/>
        <v>0</v>
      </c>
      <c r="H1116" s="218">
        <f t="shared" si="446"/>
        <v>0</v>
      </c>
      <c r="I1116" s="218">
        <f t="shared" si="446"/>
        <v>0</v>
      </c>
      <c r="J1116" s="218">
        <f t="shared" si="446"/>
        <v>0</v>
      </c>
      <c r="K1116" s="261">
        <f t="shared" si="442"/>
        <v>2.3277999999999999</v>
      </c>
      <c r="L1116" s="218"/>
      <c r="M1116" s="50"/>
      <c r="N1116" s="51"/>
      <c r="O1116" s="717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  <c r="AH1116" s="65"/>
      <c r="AI1116" s="65"/>
      <c r="AJ1116" s="65"/>
      <c r="AK1116" s="65"/>
      <c r="AL1116" s="65"/>
      <c r="AM1116" s="65"/>
      <c r="AN1116" s="65"/>
      <c r="AO1116" s="65"/>
      <c r="AP1116" s="65"/>
      <c r="AQ1116" s="65"/>
      <c r="AR1116" s="65"/>
      <c r="AS1116" s="65"/>
      <c r="AT1116" s="65"/>
      <c r="AU1116" s="65"/>
      <c r="AV1116" s="65"/>
      <c r="AW1116" s="65"/>
      <c r="AX1116" s="65"/>
      <c r="AY1116" s="65"/>
      <c r="AZ1116" s="65"/>
      <c r="BA1116" s="65"/>
      <c r="BB1116" s="65"/>
      <c r="BC1116" s="65"/>
      <c r="BD1116" s="65"/>
      <c r="BE1116" s="66"/>
    </row>
    <row r="1117" spans="1:57" s="48" customFormat="1" x14ac:dyDescent="0.2">
      <c r="A1117" s="716"/>
      <c r="B1117" s="701"/>
      <c r="C1117" s="727"/>
      <c r="D1117" s="46">
        <v>2026</v>
      </c>
      <c r="E1117" s="218">
        <f t="shared" si="447"/>
        <v>4.8173000000000004</v>
      </c>
      <c r="F1117" s="218">
        <f t="shared" si="446"/>
        <v>4.8173000000000004</v>
      </c>
      <c r="G1117" s="218">
        <f t="shared" si="446"/>
        <v>0</v>
      </c>
      <c r="H1117" s="218">
        <f t="shared" si="446"/>
        <v>0</v>
      </c>
      <c r="I1117" s="218">
        <f t="shared" si="446"/>
        <v>0</v>
      </c>
      <c r="J1117" s="218">
        <f t="shared" si="446"/>
        <v>0</v>
      </c>
      <c r="K1117" s="261">
        <f t="shared" si="442"/>
        <v>4.8173000000000004</v>
      </c>
      <c r="L1117" s="218"/>
      <c r="M1117" s="50"/>
      <c r="N1117" s="51"/>
      <c r="O1117" s="717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  <c r="AF1117" s="65"/>
      <c r="AG1117" s="65"/>
      <c r="AH1117" s="65"/>
      <c r="AI1117" s="65"/>
      <c r="AJ1117" s="65"/>
      <c r="AK1117" s="65"/>
      <c r="AL1117" s="65"/>
      <c r="AM1117" s="65"/>
      <c r="AN1117" s="65"/>
      <c r="AO1117" s="65"/>
      <c r="AP1117" s="65"/>
      <c r="AQ1117" s="65"/>
      <c r="AR1117" s="65"/>
      <c r="AS1117" s="65"/>
      <c r="AT1117" s="65"/>
      <c r="AU1117" s="65"/>
      <c r="AV1117" s="65"/>
      <c r="AW1117" s="65"/>
      <c r="AX1117" s="65"/>
      <c r="AY1117" s="65"/>
      <c r="AZ1117" s="65"/>
      <c r="BA1117" s="65"/>
      <c r="BB1117" s="65"/>
      <c r="BC1117" s="65"/>
      <c r="BD1117" s="65"/>
      <c r="BE1117" s="66"/>
    </row>
    <row r="1118" spans="1:57" s="48" customFormat="1" x14ac:dyDescent="0.2">
      <c r="A1118" s="718" t="s">
        <v>716</v>
      </c>
      <c r="B1118" s="720" t="s">
        <v>500</v>
      </c>
      <c r="C1118" s="282"/>
      <c r="D1118" s="46" t="s">
        <v>198</v>
      </c>
      <c r="E1118" s="58">
        <f>E1119+E1120+E1121+E1122+E1123+E1124+E1125+E1126</f>
        <v>6.6882999999999999</v>
      </c>
      <c r="F1118" s="58">
        <f>F1119+F1120+F1121+F1122+F1123+F1124+F1125+F1126</f>
        <v>6.6882999999999999</v>
      </c>
      <c r="G1118" s="58">
        <f t="shared" ref="G1118:J1118" si="448">G1119+G1120+G1121+G1122+G1123+G1124+G1125+G1126</f>
        <v>0</v>
      </c>
      <c r="H1118" s="58">
        <f t="shared" si="448"/>
        <v>0</v>
      </c>
      <c r="I1118" s="58">
        <f t="shared" si="448"/>
        <v>0</v>
      </c>
      <c r="J1118" s="58">
        <f t="shared" si="448"/>
        <v>0</v>
      </c>
      <c r="K1118" s="261">
        <f t="shared" si="442"/>
        <v>6.6882999999999999</v>
      </c>
      <c r="L1118" s="218"/>
      <c r="M1118" s="50"/>
      <c r="N1118" s="51"/>
      <c r="O1118" s="717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  <c r="AL1118" s="65"/>
      <c r="AM1118" s="65"/>
      <c r="AN1118" s="65"/>
      <c r="AO1118" s="65"/>
      <c r="AP1118" s="65"/>
      <c r="AQ1118" s="65"/>
      <c r="AR1118" s="65"/>
      <c r="AS1118" s="65"/>
      <c r="AT1118" s="65"/>
      <c r="AU1118" s="65"/>
      <c r="AV1118" s="65"/>
      <c r="AW1118" s="65"/>
      <c r="AX1118" s="65"/>
      <c r="AY1118" s="65"/>
      <c r="AZ1118" s="65"/>
      <c r="BA1118" s="65"/>
      <c r="BB1118" s="65"/>
      <c r="BC1118" s="65"/>
      <c r="BD1118" s="65"/>
      <c r="BE1118" s="66"/>
    </row>
    <row r="1119" spans="1:57" s="330" customFormat="1" ht="12.75" customHeight="1" x14ac:dyDescent="0.2">
      <c r="A1119" s="719"/>
      <c r="B1119" s="721"/>
      <c r="C1119" s="446"/>
      <c r="D1119" s="331">
        <v>2019</v>
      </c>
      <c r="E1119" s="332">
        <f>F1119+G1119+H1119+I1119+J1119</f>
        <v>0.74270000000000003</v>
      </c>
      <c r="F1119" s="332">
        <f>F1127</f>
        <v>0.74270000000000003</v>
      </c>
      <c r="G1119" s="332">
        <f t="shared" ref="G1119:J1120" si="449">G1127</f>
        <v>0</v>
      </c>
      <c r="H1119" s="332">
        <f t="shared" si="449"/>
        <v>0</v>
      </c>
      <c r="I1119" s="332">
        <f t="shared" si="449"/>
        <v>0</v>
      </c>
      <c r="J1119" s="332">
        <f t="shared" si="449"/>
        <v>0</v>
      </c>
      <c r="K1119" s="325">
        <f t="shared" si="442"/>
        <v>0.74270000000000003</v>
      </c>
      <c r="L1119" s="447"/>
      <c r="M1119" s="326"/>
      <c r="N1119" s="327"/>
      <c r="O1119" s="717"/>
      <c r="P1119" s="328"/>
      <c r="Q1119" s="328"/>
      <c r="R1119" s="328"/>
      <c r="S1119" s="328"/>
      <c r="T1119" s="328"/>
      <c r="U1119" s="328"/>
      <c r="V1119" s="328"/>
      <c r="W1119" s="328"/>
      <c r="X1119" s="328"/>
      <c r="Y1119" s="328"/>
      <c r="Z1119" s="328"/>
      <c r="AA1119" s="328"/>
      <c r="AB1119" s="328"/>
      <c r="AC1119" s="328"/>
      <c r="AD1119" s="328"/>
      <c r="AE1119" s="328"/>
      <c r="AF1119" s="328"/>
      <c r="AG1119" s="328"/>
      <c r="AH1119" s="328"/>
      <c r="AI1119" s="328"/>
      <c r="AJ1119" s="328"/>
      <c r="AK1119" s="328"/>
      <c r="AL1119" s="328"/>
      <c r="AM1119" s="328"/>
      <c r="AN1119" s="328"/>
      <c r="AO1119" s="328"/>
      <c r="AP1119" s="328"/>
      <c r="AQ1119" s="328"/>
      <c r="AR1119" s="328"/>
      <c r="AS1119" s="328"/>
      <c r="AT1119" s="328"/>
      <c r="AU1119" s="328"/>
      <c r="AV1119" s="328"/>
      <c r="AW1119" s="328"/>
      <c r="AX1119" s="328"/>
      <c r="AY1119" s="328"/>
      <c r="AZ1119" s="328"/>
      <c r="BA1119" s="328"/>
      <c r="BB1119" s="328"/>
      <c r="BC1119" s="328"/>
      <c r="BD1119" s="328"/>
      <c r="BE1119" s="329"/>
    </row>
    <row r="1120" spans="1:57" s="131" customFormat="1" ht="12.75" customHeight="1" x14ac:dyDescent="0.2">
      <c r="A1120" s="719"/>
      <c r="B1120" s="721"/>
      <c r="C1120" s="396"/>
      <c r="D1120" s="132">
        <v>2020</v>
      </c>
      <c r="E1120" s="133">
        <f t="shared" ref="E1120:E1126" si="450">F1120+G1120+H1120+I1120+J1120</f>
        <v>0.4511</v>
      </c>
      <c r="F1120" s="133">
        <f>F1128</f>
        <v>0.4511</v>
      </c>
      <c r="G1120" s="133">
        <f t="shared" si="449"/>
        <v>0</v>
      </c>
      <c r="H1120" s="133">
        <f t="shared" si="449"/>
        <v>0</v>
      </c>
      <c r="I1120" s="133">
        <f t="shared" si="449"/>
        <v>0</v>
      </c>
      <c r="J1120" s="133">
        <f t="shared" si="449"/>
        <v>0</v>
      </c>
      <c r="K1120" s="136">
        <f t="shared" si="442"/>
        <v>0.4511</v>
      </c>
      <c r="L1120" s="379"/>
      <c r="M1120" s="127"/>
      <c r="N1120" s="128"/>
      <c r="O1120" s="717"/>
      <c r="P1120" s="129"/>
      <c r="Q1120" s="129"/>
      <c r="R1120" s="129"/>
      <c r="S1120" s="129"/>
      <c r="T1120" s="129"/>
      <c r="U1120" s="129"/>
      <c r="V1120" s="129"/>
      <c r="W1120" s="129"/>
      <c r="X1120" s="129"/>
      <c r="Y1120" s="129"/>
      <c r="Z1120" s="129"/>
      <c r="AA1120" s="129"/>
      <c r="AB1120" s="129"/>
      <c r="AC1120" s="129"/>
      <c r="AD1120" s="129"/>
      <c r="AE1120" s="129"/>
      <c r="AF1120" s="129"/>
      <c r="AG1120" s="129"/>
      <c r="AH1120" s="129"/>
      <c r="AI1120" s="129"/>
      <c r="AJ1120" s="129"/>
      <c r="AK1120" s="129"/>
      <c r="AL1120" s="129"/>
      <c r="AM1120" s="129"/>
      <c r="AN1120" s="129"/>
      <c r="AO1120" s="129"/>
      <c r="AP1120" s="129"/>
      <c r="AQ1120" s="129"/>
      <c r="AR1120" s="129"/>
      <c r="AS1120" s="129"/>
      <c r="AT1120" s="129"/>
      <c r="AU1120" s="129"/>
      <c r="AV1120" s="129"/>
      <c r="AW1120" s="129"/>
      <c r="AX1120" s="129"/>
      <c r="AY1120" s="129"/>
      <c r="AZ1120" s="129"/>
      <c r="BA1120" s="129"/>
      <c r="BB1120" s="129"/>
      <c r="BC1120" s="129"/>
      <c r="BD1120" s="129"/>
      <c r="BE1120" s="130"/>
    </row>
    <row r="1121" spans="1:57" s="131" customFormat="1" ht="12" customHeight="1" x14ac:dyDescent="0.2">
      <c r="A1121" s="719"/>
      <c r="B1121" s="721"/>
      <c r="C1121" s="396"/>
      <c r="D1121" s="132">
        <v>2021</v>
      </c>
      <c r="E1121" s="133">
        <f>F1121+G1121+H1121+I1121+J1121</f>
        <v>0.46910000000000002</v>
      </c>
      <c r="F1121" s="133">
        <f>F1129</f>
        <v>0.46910000000000002</v>
      </c>
      <c r="G1121" s="133">
        <f t="shared" ref="G1121:J1122" si="451">G1134</f>
        <v>0</v>
      </c>
      <c r="H1121" s="133">
        <f t="shared" si="451"/>
        <v>0</v>
      </c>
      <c r="I1121" s="133">
        <f t="shared" si="451"/>
        <v>0</v>
      </c>
      <c r="J1121" s="133">
        <f t="shared" si="451"/>
        <v>0</v>
      </c>
      <c r="K1121" s="136">
        <f t="shared" si="442"/>
        <v>0.46910000000000002</v>
      </c>
      <c r="L1121" s="379"/>
      <c r="M1121" s="127"/>
      <c r="N1121" s="128"/>
      <c r="O1121" s="717"/>
      <c r="P1121" s="129"/>
      <c r="Q1121" s="129"/>
      <c r="R1121" s="129"/>
      <c r="S1121" s="129"/>
      <c r="T1121" s="129"/>
      <c r="U1121" s="129"/>
      <c r="V1121" s="129"/>
      <c r="W1121" s="129"/>
      <c r="X1121" s="129"/>
      <c r="Y1121" s="129"/>
      <c r="Z1121" s="129"/>
      <c r="AA1121" s="129"/>
      <c r="AB1121" s="129"/>
      <c r="AC1121" s="129"/>
      <c r="AD1121" s="129"/>
      <c r="AE1121" s="129"/>
      <c r="AF1121" s="129"/>
      <c r="AG1121" s="129"/>
      <c r="AH1121" s="129"/>
      <c r="AI1121" s="129"/>
      <c r="AJ1121" s="129"/>
      <c r="AK1121" s="129"/>
      <c r="AL1121" s="129"/>
      <c r="AM1121" s="129"/>
      <c r="AN1121" s="129"/>
      <c r="AO1121" s="129"/>
      <c r="AP1121" s="129"/>
      <c r="AQ1121" s="129"/>
      <c r="AR1121" s="129"/>
      <c r="AS1121" s="129"/>
      <c r="AT1121" s="129"/>
      <c r="AU1121" s="129"/>
      <c r="AV1121" s="129"/>
      <c r="AW1121" s="129"/>
      <c r="AX1121" s="129"/>
      <c r="AY1121" s="129"/>
      <c r="AZ1121" s="129"/>
      <c r="BA1121" s="129"/>
      <c r="BB1121" s="129"/>
      <c r="BC1121" s="129"/>
      <c r="BD1121" s="129"/>
      <c r="BE1121" s="130"/>
    </row>
    <row r="1122" spans="1:57" s="131" customFormat="1" ht="12" customHeight="1" x14ac:dyDescent="0.2">
      <c r="A1122" s="719"/>
      <c r="B1122" s="721"/>
      <c r="C1122" s="396"/>
      <c r="D1122" s="132">
        <v>2022</v>
      </c>
      <c r="E1122" s="133">
        <f t="shared" si="450"/>
        <v>0.4879</v>
      </c>
      <c r="F1122" s="133">
        <f>F1130</f>
        <v>0.4879</v>
      </c>
      <c r="G1122" s="133">
        <f t="shared" si="451"/>
        <v>0</v>
      </c>
      <c r="H1122" s="133">
        <f t="shared" si="451"/>
        <v>0</v>
      </c>
      <c r="I1122" s="133">
        <f t="shared" si="451"/>
        <v>0</v>
      </c>
      <c r="J1122" s="133">
        <f t="shared" si="451"/>
        <v>0</v>
      </c>
      <c r="K1122" s="136">
        <f t="shared" si="442"/>
        <v>0.4879</v>
      </c>
      <c r="L1122" s="379"/>
      <c r="M1122" s="127"/>
      <c r="N1122" s="128"/>
      <c r="O1122" s="717"/>
      <c r="P1122" s="129"/>
      <c r="Q1122" s="129"/>
      <c r="R1122" s="129"/>
      <c r="S1122" s="129"/>
      <c r="T1122" s="129"/>
      <c r="U1122" s="129"/>
      <c r="V1122" s="129"/>
      <c r="W1122" s="129"/>
      <c r="X1122" s="129"/>
      <c r="Y1122" s="129"/>
      <c r="Z1122" s="129"/>
      <c r="AA1122" s="129"/>
      <c r="AB1122" s="129"/>
      <c r="AC1122" s="129"/>
      <c r="AD1122" s="129"/>
      <c r="AE1122" s="129"/>
      <c r="AF1122" s="129"/>
      <c r="AG1122" s="129"/>
      <c r="AH1122" s="129"/>
      <c r="AI1122" s="129"/>
      <c r="AJ1122" s="129"/>
      <c r="AK1122" s="129"/>
      <c r="AL1122" s="129"/>
      <c r="AM1122" s="129"/>
      <c r="AN1122" s="129"/>
      <c r="AO1122" s="129"/>
      <c r="AP1122" s="129"/>
      <c r="AQ1122" s="129"/>
      <c r="AR1122" s="129"/>
      <c r="AS1122" s="129"/>
      <c r="AT1122" s="129"/>
      <c r="AU1122" s="129"/>
      <c r="AV1122" s="129"/>
      <c r="AW1122" s="129"/>
      <c r="AX1122" s="129"/>
      <c r="AY1122" s="129"/>
      <c r="AZ1122" s="129"/>
      <c r="BA1122" s="129"/>
      <c r="BB1122" s="129"/>
      <c r="BC1122" s="129"/>
      <c r="BD1122" s="129"/>
      <c r="BE1122" s="130"/>
    </row>
    <row r="1123" spans="1:57" s="48" customFormat="1" ht="12" customHeight="1" x14ac:dyDescent="0.2">
      <c r="A1123" s="719"/>
      <c r="B1123" s="721"/>
      <c r="C1123" s="282"/>
      <c r="D1123" s="189">
        <v>2023</v>
      </c>
      <c r="E1123" s="188">
        <f t="shared" si="450"/>
        <v>0.99750000000000005</v>
      </c>
      <c r="F1123" s="188">
        <f>F1131+F1140</f>
        <v>0.99750000000000005</v>
      </c>
      <c r="G1123" s="188">
        <f t="shared" ref="F1123:J1126" si="452">G1131</f>
        <v>0</v>
      </c>
      <c r="H1123" s="188">
        <f t="shared" si="452"/>
        <v>0</v>
      </c>
      <c r="I1123" s="188">
        <f t="shared" si="452"/>
        <v>0</v>
      </c>
      <c r="J1123" s="188">
        <f t="shared" si="452"/>
        <v>0</v>
      </c>
      <c r="K1123" s="261">
        <f t="shared" si="442"/>
        <v>0.99750000000000005</v>
      </c>
      <c r="L1123" s="161"/>
      <c r="M1123" s="50"/>
      <c r="N1123" s="51"/>
      <c r="O1123" s="717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  <c r="AC1123" s="65"/>
      <c r="AD1123" s="65"/>
      <c r="AE1123" s="65"/>
      <c r="AF1123" s="65"/>
      <c r="AG1123" s="65"/>
      <c r="AH1123" s="65"/>
      <c r="AI1123" s="65"/>
      <c r="AJ1123" s="65"/>
      <c r="AK1123" s="65"/>
      <c r="AL1123" s="65"/>
      <c r="AM1123" s="65"/>
      <c r="AN1123" s="65"/>
      <c r="AO1123" s="65"/>
      <c r="AP1123" s="65"/>
      <c r="AQ1123" s="65"/>
      <c r="AR1123" s="65"/>
      <c r="AS1123" s="65"/>
      <c r="AT1123" s="65"/>
      <c r="AU1123" s="65"/>
      <c r="AV1123" s="65"/>
      <c r="AW1123" s="65"/>
      <c r="AX1123" s="65"/>
      <c r="AY1123" s="65"/>
      <c r="AZ1123" s="65"/>
      <c r="BA1123" s="65"/>
      <c r="BB1123" s="65"/>
      <c r="BC1123" s="65"/>
      <c r="BD1123" s="65"/>
      <c r="BE1123" s="66"/>
    </row>
    <row r="1124" spans="1:57" s="48" customFormat="1" ht="12" customHeight="1" x14ac:dyDescent="0.2">
      <c r="A1124" s="719"/>
      <c r="B1124" s="721"/>
      <c r="C1124" s="282"/>
      <c r="D1124" s="189">
        <v>2024</v>
      </c>
      <c r="E1124" s="188">
        <f t="shared" si="450"/>
        <v>0.3503</v>
      </c>
      <c r="F1124" s="188">
        <f t="shared" si="452"/>
        <v>0.3503</v>
      </c>
      <c r="G1124" s="188">
        <f t="shared" si="452"/>
        <v>0</v>
      </c>
      <c r="H1124" s="188">
        <f t="shared" si="452"/>
        <v>0</v>
      </c>
      <c r="I1124" s="188">
        <f t="shared" si="452"/>
        <v>0</v>
      </c>
      <c r="J1124" s="188">
        <f t="shared" si="452"/>
        <v>0</v>
      </c>
      <c r="K1124" s="261">
        <f t="shared" si="442"/>
        <v>0.3503</v>
      </c>
      <c r="L1124" s="161"/>
      <c r="M1124" s="50"/>
      <c r="N1124" s="51"/>
      <c r="O1124" s="717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  <c r="AF1124" s="65"/>
      <c r="AG1124" s="65"/>
      <c r="AH1124" s="65"/>
      <c r="AI1124" s="65"/>
      <c r="AJ1124" s="65"/>
      <c r="AK1124" s="65"/>
      <c r="AL1124" s="65"/>
      <c r="AM1124" s="65"/>
      <c r="AN1124" s="65"/>
      <c r="AO1124" s="65"/>
      <c r="AP1124" s="65"/>
      <c r="AQ1124" s="65"/>
      <c r="AR1124" s="65"/>
      <c r="AS1124" s="65"/>
      <c r="AT1124" s="65"/>
      <c r="AU1124" s="65"/>
      <c r="AV1124" s="65"/>
      <c r="AW1124" s="65"/>
      <c r="AX1124" s="65"/>
      <c r="AY1124" s="65"/>
      <c r="AZ1124" s="65"/>
      <c r="BA1124" s="65"/>
      <c r="BB1124" s="65"/>
      <c r="BC1124" s="65"/>
      <c r="BD1124" s="65"/>
      <c r="BE1124" s="66"/>
    </row>
    <row r="1125" spans="1:57" s="48" customFormat="1" ht="12" customHeight="1" x14ac:dyDescent="0.2">
      <c r="A1125" s="719"/>
      <c r="B1125" s="721"/>
      <c r="C1125" s="282"/>
      <c r="D1125" s="189">
        <v>2025</v>
      </c>
      <c r="E1125" s="188">
        <f>F1125+G1125+H1125+I1125+J1125</f>
        <v>1.4382999999999999</v>
      </c>
      <c r="F1125" s="188">
        <f>F1133+F1150</f>
        <v>1.4382999999999999</v>
      </c>
      <c r="G1125" s="188">
        <f t="shared" si="452"/>
        <v>0</v>
      </c>
      <c r="H1125" s="188">
        <f t="shared" si="452"/>
        <v>0</v>
      </c>
      <c r="I1125" s="188">
        <f t="shared" si="452"/>
        <v>0</v>
      </c>
      <c r="J1125" s="188">
        <f t="shared" si="452"/>
        <v>0</v>
      </c>
      <c r="K1125" s="261">
        <f t="shared" si="442"/>
        <v>1.4382999999999999</v>
      </c>
      <c r="L1125" s="161"/>
      <c r="M1125" s="50"/>
      <c r="N1125" s="51"/>
      <c r="O1125" s="717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  <c r="AF1125" s="65"/>
      <c r="AG1125" s="65"/>
      <c r="AH1125" s="65"/>
      <c r="AI1125" s="65"/>
      <c r="AJ1125" s="65"/>
      <c r="AK1125" s="65"/>
      <c r="AL1125" s="65"/>
      <c r="AM1125" s="65"/>
      <c r="AN1125" s="65"/>
      <c r="AO1125" s="65"/>
      <c r="AP1125" s="65"/>
      <c r="AQ1125" s="65"/>
      <c r="AR1125" s="65"/>
      <c r="AS1125" s="65"/>
      <c r="AT1125" s="65"/>
      <c r="AU1125" s="65"/>
      <c r="AV1125" s="65"/>
      <c r="AW1125" s="65"/>
      <c r="AX1125" s="65"/>
      <c r="AY1125" s="65"/>
      <c r="AZ1125" s="65"/>
      <c r="BA1125" s="65"/>
      <c r="BB1125" s="65"/>
      <c r="BC1125" s="65"/>
      <c r="BD1125" s="65"/>
      <c r="BE1125" s="66"/>
    </row>
    <row r="1126" spans="1:57" s="48" customFormat="1" ht="12" customHeight="1" x14ac:dyDescent="0.2">
      <c r="A1126" s="719"/>
      <c r="B1126" s="721"/>
      <c r="C1126" s="282"/>
      <c r="D1126" s="189">
        <v>2026</v>
      </c>
      <c r="E1126" s="188">
        <f t="shared" si="450"/>
        <v>1.7514000000000001</v>
      </c>
      <c r="F1126" s="188">
        <f t="shared" si="452"/>
        <v>1.7514000000000001</v>
      </c>
      <c r="G1126" s="188">
        <f t="shared" si="452"/>
        <v>0</v>
      </c>
      <c r="H1126" s="188">
        <f t="shared" si="452"/>
        <v>0</v>
      </c>
      <c r="I1126" s="188">
        <f t="shared" si="452"/>
        <v>0</v>
      </c>
      <c r="J1126" s="188">
        <f t="shared" si="452"/>
        <v>0</v>
      </c>
      <c r="K1126" s="261">
        <f t="shared" si="442"/>
        <v>1.7514000000000001</v>
      </c>
      <c r="L1126" s="161"/>
      <c r="M1126" s="50"/>
      <c r="N1126" s="51"/>
      <c r="O1126" s="717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  <c r="AC1126" s="65"/>
      <c r="AD1126" s="65"/>
      <c r="AE1126" s="65"/>
      <c r="AF1126" s="65"/>
      <c r="AG1126" s="65"/>
      <c r="AH1126" s="65"/>
      <c r="AI1126" s="65"/>
      <c r="AJ1126" s="65"/>
      <c r="AK1126" s="65"/>
      <c r="AL1126" s="65"/>
      <c r="AM1126" s="65"/>
      <c r="AN1126" s="65"/>
      <c r="AO1126" s="65"/>
      <c r="AP1126" s="65"/>
      <c r="AQ1126" s="65"/>
      <c r="AR1126" s="65"/>
      <c r="AS1126" s="65"/>
      <c r="AT1126" s="65"/>
      <c r="AU1126" s="65"/>
      <c r="AV1126" s="65"/>
      <c r="AW1126" s="65"/>
      <c r="AX1126" s="65"/>
      <c r="AY1126" s="65"/>
      <c r="AZ1126" s="65"/>
      <c r="BA1126" s="65"/>
      <c r="BB1126" s="65"/>
      <c r="BC1126" s="65"/>
      <c r="BD1126" s="65"/>
      <c r="BE1126" s="66"/>
    </row>
    <row r="1127" spans="1:57" s="48" customFormat="1" ht="153.75" customHeight="1" x14ac:dyDescent="0.2">
      <c r="A1127" s="182" t="s">
        <v>717</v>
      </c>
      <c r="B1127" s="183" t="s">
        <v>579</v>
      </c>
      <c r="C1127" s="282"/>
      <c r="D1127" s="189">
        <v>2019</v>
      </c>
      <c r="E1127" s="228">
        <f>F1127+G1127+H1127+I1127+J1127</f>
        <v>0.74270000000000003</v>
      </c>
      <c r="F1127" s="228">
        <v>0.74270000000000003</v>
      </c>
      <c r="G1127" s="228">
        <v>0</v>
      </c>
      <c r="H1127" s="228">
        <v>0</v>
      </c>
      <c r="I1127" s="228">
        <v>0</v>
      </c>
      <c r="J1127" s="228">
        <v>0</v>
      </c>
      <c r="K1127" s="261">
        <f t="shared" si="442"/>
        <v>0.74270000000000003</v>
      </c>
      <c r="L1127" s="161"/>
      <c r="M1127" s="50"/>
      <c r="N1127" s="51"/>
      <c r="O1127" s="717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  <c r="AC1127" s="65"/>
      <c r="AD1127" s="65"/>
      <c r="AE1127" s="65"/>
      <c r="AF1127" s="65"/>
      <c r="AG1127" s="65"/>
      <c r="AH1127" s="65"/>
      <c r="AI1127" s="65"/>
      <c r="AJ1127" s="65"/>
      <c r="AK1127" s="65"/>
      <c r="AL1127" s="65"/>
      <c r="AM1127" s="65"/>
      <c r="AN1127" s="65"/>
      <c r="AO1127" s="65"/>
      <c r="AP1127" s="65"/>
      <c r="AQ1127" s="65"/>
      <c r="AR1127" s="65"/>
      <c r="AS1127" s="65"/>
      <c r="AT1127" s="65"/>
      <c r="AU1127" s="65"/>
      <c r="AV1127" s="65"/>
      <c r="AW1127" s="65"/>
      <c r="AX1127" s="65"/>
      <c r="AY1127" s="65"/>
      <c r="AZ1127" s="65"/>
      <c r="BA1127" s="65"/>
      <c r="BB1127" s="65"/>
      <c r="BC1127" s="65"/>
      <c r="BD1127" s="65"/>
      <c r="BE1127" s="66"/>
    </row>
    <row r="1128" spans="1:57" s="48" customFormat="1" ht="118.5" customHeight="1" x14ac:dyDescent="0.2">
      <c r="A1128" s="182" t="s">
        <v>718</v>
      </c>
      <c r="B1128" s="183" t="s">
        <v>593</v>
      </c>
      <c r="C1128" s="282"/>
      <c r="D1128" s="189">
        <v>2020</v>
      </c>
      <c r="E1128" s="228">
        <f>F1128+G1128+H1128+I1128+J1128</f>
        <v>0.4511</v>
      </c>
      <c r="F1128" s="228">
        <v>0.4511</v>
      </c>
      <c r="G1128" s="228">
        <v>0</v>
      </c>
      <c r="H1128" s="228">
        <v>0</v>
      </c>
      <c r="I1128" s="228">
        <v>0</v>
      </c>
      <c r="J1128" s="228">
        <v>0</v>
      </c>
      <c r="K1128" s="261">
        <f t="shared" si="442"/>
        <v>0.4511</v>
      </c>
      <c r="L1128" s="161"/>
      <c r="M1128" s="50"/>
      <c r="N1128" s="51"/>
      <c r="O1128" s="717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  <c r="AC1128" s="65"/>
      <c r="AD1128" s="65"/>
      <c r="AE1128" s="65"/>
      <c r="AF1128" s="65"/>
      <c r="AG1128" s="65"/>
      <c r="AH1128" s="65"/>
      <c r="AI1128" s="65"/>
      <c r="AJ1128" s="65"/>
      <c r="AK1128" s="65"/>
      <c r="AL1128" s="65"/>
      <c r="AM1128" s="65"/>
      <c r="AN1128" s="65"/>
      <c r="AO1128" s="65"/>
      <c r="AP1128" s="65"/>
      <c r="AQ1128" s="65"/>
      <c r="AR1128" s="65"/>
      <c r="AS1128" s="65"/>
      <c r="AT1128" s="65"/>
      <c r="AU1128" s="65"/>
      <c r="AV1128" s="65"/>
      <c r="AW1128" s="65"/>
      <c r="AX1128" s="65"/>
      <c r="AY1128" s="65"/>
      <c r="AZ1128" s="65"/>
      <c r="BA1128" s="65"/>
      <c r="BB1128" s="65"/>
      <c r="BC1128" s="65"/>
      <c r="BD1128" s="65"/>
      <c r="BE1128" s="66"/>
    </row>
    <row r="1129" spans="1:57" s="48" customFormat="1" ht="99" customHeight="1" x14ac:dyDescent="0.2">
      <c r="A1129" s="179" t="s">
        <v>719</v>
      </c>
      <c r="B1129" s="169" t="s">
        <v>941</v>
      </c>
      <c r="C1129" s="282"/>
      <c r="D1129" s="189">
        <v>2021</v>
      </c>
      <c r="E1129" s="228">
        <f>F1129+G1129+H1129+I1129+J1129</f>
        <v>0.46910000000000002</v>
      </c>
      <c r="F1129" s="228">
        <v>0.46910000000000002</v>
      </c>
      <c r="G1129" s="228">
        <v>0</v>
      </c>
      <c r="H1129" s="228">
        <v>0</v>
      </c>
      <c r="I1129" s="228">
        <v>0</v>
      </c>
      <c r="J1129" s="228">
        <v>0</v>
      </c>
      <c r="K1129" s="261">
        <f t="shared" si="442"/>
        <v>0.46910000000000002</v>
      </c>
      <c r="L1129" s="161"/>
      <c r="M1129" s="50"/>
      <c r="N1129" s="51"/>
      <c r="O1129" s="717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  <c r="AC1129" s="65"/>
      <c r="AD1129" s="65"/>
      <c r="AE1129" s="65"/>
      <c r="AF1129" s="65"/>
      <c r="AG1129" s="65"/>
      <c r="AH1129" s="65"/>
      <c r="AI1129" s="65"/>
      <c r="AJ1129" s="65"/>
      <c r="AK1129" s="65"/>
      <c r="AL1129" s="65"/>
      <c r="AM1129" s="65"/>
      <c r="AN1129" s="65"/>
      <c r="AO1129" s="65"/>
      <c r="AP1129" s="65"/>
      <c r="AQ1129" s="65"/>
      <c r="AR1129" s="65"/>
      <c r="AS1129" s="65"/>
      <c r="AT1129" s="65"/>
      <c r="AU1129" s="65"/>
      <c r="AV1129" s="65"/>
      <c r="AW1129" s="65"/>
      <c r="AX1129" s="65"/>
      <c r="AY1129" s="65"/>
      <c r="AZ1129" s="65"/>
      <c r="BA1129" s="65"/>
      <c r="BB1129" s="65"/>
      <c r="BC1129" s="65"/>
      <c r="BD1129" s="65"/>
      <c r="BE1129" s="66"/>
    </row>
    <row r="1130" spans="1:57" s="48" customFormat="1" ht="53.25" customHeight="1" x14ac:dyDescent="0.2">
      <c r="A1130" s="179" t="s">
        <v>772</v>
      </c>
      <c r="B1130" s="169" t="s">
        <v>942</v>
      </c>
      <c r="C1130" s="282"/>
      <c r="D1130" s="189">
        <v>2022</v>
      </c>
      <c r="E1130" s="228">
        <f>F1130</f>
        <v>0.4879</v>
      </c>
      <c r="F1130" s="228">
        <v>0.4879</v>
      </c>
      <c r="G1130" s="228">
        <v>0</v>
      </c>
      <c r="H1130" s="228">
        <v>0</v>
      </c>
      <c r="I1130" s="228">
        <v>0</v>
      </c>
      <c r="J1130" s="228">
        <v>0</v>
      </c>
      <c r="K1130" s="261">
        <f t="shared" si="442"/>
        <v>0.4879</v>
      </c>
      <c r="L1130" s="161"/>
      <c r="M1130" s="50"/>
      <c r="N1130" s="51"/>
      <c r="O1130" s="717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  <c r="AC1130" s="65"/>
      <c r="AD1130" s="65"/>
      <c r="AE1130" s="65"/>
      <c r="AF1130" s="65"/>
      <c r="AG1130" s="65"/>
      <c r="AH1130" s="65"/>
      <c r="AI1130" s="65"/>
      <c r="AJ1130" s="65"/>
      <c r="AK1130" s="65"/>
      <c r="AL1130" s="65"/>
      <c r="AM1130" s="65"/>
      <c r="AN1130" s="65"/>
      <c r="AO1130" s="65"/>
      <c r="AP1130" s="65"/>
      <c r="AQ1130" s="65"/>
      <c r="AR1130" s="65"/>
      <c r="AS1130" s="65"/>
      <c r="AT1130" s="65"/>
      <c r="AU1130" s="65"/>
      <c r="AV1130" s="65"/>
      <c r="AW1130" s="65"/>
      <c r="AX1130" s="65"/>
      <c r="AY1130" s="65"/>
      <c r="AZ1130" s="65"/>
      <c r="BA1130" s="65"/>
      <c r="BB1130" s="65"/>
      <c r="BC1130" s="65"/>
      <c r="BD1130" s="65"/>
      <c r="BE1130" s="66"/>
    </row>
    <row r="1131" spans="1:57" s="48" customFormat="1" ht="60.75" customHeight="1" x14ac:dyDescent="0.2">
      <c r="A1131" s="179" t="s">
        <v>773</v>
      </c>
      <c r="B1131" s="169" t="s">
        <v>943</v>
      </c>
      <c r="C1131" s="282"/>
      <c r="D1131" s="189">
        <v>2023</v>
      </c>
      <c r="E1131" s="228">
        <f>F1131</f>
        <v>0.17510000000000001</v>
      </c>
      <c r="F1131" s="228">
        <v>0.17510000000000001</v>
      </c>
      <c r="G1131" s="228">
        <v>0</v>
      </c>
      <c r="H1131" s="228">
        <v>0</v>
      </c>
      <c r="I1131" s="228">
        <v>0</v>
      </c>
      <c r="J1131" s="228">
        <v>0</v>
      </c>
      <c r="K1131" s="261">
        <f t="shared" si="442"/>
        <v>0.17510000000000001</v>
      </c>
      <c r="L1131" s="161"/>
      <c r="M1131" s="50"/>
      <c r="N1131" s="51"/>
      <c r="O1131" s="717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  <c r="AC1131" s="65"/>
      <c r="AD1131" s="65"/>
      <c r="AE1131" s="65"/>
      <c r="AF1131" s="65"/>
      <c r="AG1131" s="65"/>
      <c r="AH1131" s="65"/>
      <c r="AI1131" s="65"/>
      <c r="AJ1131" s="65"/>
      <c r="AK1131" s="65"/>
      <c r="AL1131" s="65"/>
      <c r="AM1131" s="65"/>
      <c r="AN1131" s="65"/>
      <c r="AO1131" s="65"/>
      <c r="AP1131" s="65"/>
      <c r="AQ1131" s="65"/>
      <c r="AR1131" s="65"/>
      <c r="AS1131" s="65"/>
      <c r="AT1131" s="65"/>
      <c r="AU1131" s="65"/>
      <c r="AV1131" s="65"/>
      <c r="AW1131" s="65"/>
      <c r="AX1131" s="65"/>
      <c r="AY1131" s="65"/>
      <c r="AZ1131" s="65"/>
      <c r="BA1131" s="65"/>
      <c r="BB1131" s="65"/>
      <c r="BC1131" s="65"/>
      <c r="BD1131" s="65"/>
      <c r="BE1131" s="66"/>
    </row>
    <row r="1132" spans="1:57" s="48" customFormat="1" ht="50.25" customHeight="1" x14ac:dyDescent="0.2">
      <c r="A1132" s="179" t="s">
        <v>720</v>
      </c>
      <c r="B1132" s="169" t="s">
        <v>944</v>
      </c>
      <c r="C1132" s="282"/>
      <c r="D1132" s="189">
        <v>2024</v>
      </c>
      <c r="E1132" s="228">
        <f>F1132</f>
        <v>0.3503</v>
      </c>
      <c r="F1132" s="228">
        <v>0.3503</v>
      </c>
      <c r="G1132" s="228">
        <v>0</v>
      </c>
      <c r="H1132" s="228">
        <v>0</v>
      </c>
      <c r="I1132" s="228">
        <v>0</v>
      </c>
      <c r="J1132" s="228">
        <v>0</v>
      </c>
      <c r="K1132" s="261">
        <f t="shared" si="442"/>
        <v>0.3503</v>
      </c>
      <c r="L1132" s="161"/>
      <c r="M1132" s="50"/>
      <c r="N1132" s="51"/>
      <c r="O1132" s="717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  <c r="AC1132" s="65"/>
      <c r="AD1132" s="65"/>
      <c r="AE1132" s="65"/>
      <c r="AF1132" s="65"/>
      <c r="AG1132" s="65"/>
      <c r="AH1132" s="65"/>
      <c r="AI1132" s="65"/>
      <c r="AJ1132" s="65"/>
      <c r="AK1132" s="65"/>
      <c r="AL1132" s="65"/>
      <c r="AM1132" s="65"/>
      <c r="AN1132" s="65"/>
      <c r="AO1132" s="65"/>
      <c r="AP1132" s="65"/>
      <c r="AQ1132" s="65"/>
      <c r="AR1132" s="65"/>
      <c r="AS1132" s="65"/>
      <c r="AT1132" s="65"/>
      <c r="AU1132" s="65"/>
      <c r="AV1132" s="65"/>
      <c r="AW1132" s="65"/>
      <c r="AX1132" s="65"/>
      <c r="AY1132" s="65"/>
      <c r="AZ1132" s="65"/>
      <c r="BA1132" s="65"/>
      <c r="BB1132" s="65"/>
      <c r="BC1132" s="65"/>
      <c r="BD1132" s="65"/>
      <c r="BE1132" s="66"/>
    </row>
    <row r="1133" spans="1:57" s="48" customFormat="1" ht="48" customHeight="1" x14ac:dyDescent="0.2">
      <c r="A1133" s="179" t="s">
        <v>774</v>
      </c>
      <c r="B1133" s="169" t="s">
        <v>945</v>
      </c>
      <c r="C1133" s="282"/>
      <c r="D1133" s="189">
        <v>2025</v>
      </c>
      <c r="E1133" s="228">
        <f>F1133</f>
        <v>0.54879999999999995</v>
      </c>
      <c r="F1133" s="228">
        <v>0.54879999999999995</v>
      </c>
      <c r="G1133" s="228">
        <v>0</v>
      </c>
      <c r="H1133" s="228">
        <v>0</v>
      </c>
      <c r="I1133" s="228">
        <v>0</v>
      </c>
      <c r="J1133" s="228">
        <v>0</v>
      </c>
      <c r="K1133" s="261">
        <f t="shared" si="442"/>
        <v>0.54879999999999995</v>
      </c>
      <c r="L1133" s="161"/>
      <c r="M1133" s="50"/>
      <c r="N1133" s="51"/>
      <c r="O1133" s="717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  <c r="AB1133" s="65"/>
      <c r="AC1133" s="65"/>
      <c r="AD1133" s="65"/>
      <c r="AE1133" s="65"/>
      <c r="AF1133" s="65"/>
      <c r="AG1133" s="65"/>
      <c r="AH1133" s="65"/>
      <c r="AI1133" s="65"/>
      <c r="AJ1133" s="65"/>
      <c r="AK1133" s="65"/>
      <c r="AL1133" s="65"/>
      <c r="AM1133" s="65"/>
      <c r="AN1133" s="65"/>
      <c r="AO1133" s="65"/>
      <c r="AP1133" s="65"/>
      <c r="AQ1133" s="65"/>
      <c r="AR1133" s="65"/>
      <c r="AS1133" s="65"/>
      <c r="AT1133" s="65"/>
      <c r="AU1133" s="65"/>
      <c r="AV1133" s="65"/>
      <c r="AW1133" s="65"/>
      <c r="AX1133" s="65"/>
      <c r="AY1133" s="65"/>
      <c r="AZ1133" s="65"/>
      <c r="BA1133" s="65"/>
      <c r="BB1133" s="65"/>
      <c r="BC1133" s="65"/>
      <c r="BD1133" s="65"/>
      <c r="BE1133" s="66"/>
    </row>
    <row r="1134" spans="1:57" s="48" customFormat="1" ht="38.25" customHeight="1" x14ac:dyDescent="0.2">
      <c r="A1134" s="179" t="s">
        <v>775</v>
      </c>
      <c r="B1134" s="169" t="s">
        <v>580</v>
      </c>
      <c r="C1134" s="282"/>
      <c r="D1134" s="189">
        <v>2026</v>
      </c>
      <c r="E1134" s="228">
        <f>F1134+G1134+H1134+I1134+J1134</f>
        <v>1.7514000000000001</v>
      </c>
      <c r="F1134" s="228">
        <v>1.7514000000000001</v>
      </c>
      <c r="G1134" s="228">
        <v>0</v>
      </c>
      <c r="H1134" s="228">
        <v>0</v>
      </c>
      <c r="I1134" s="228">
        <v>0</v>
      </c>
      <c r="J1134" s="228">
        <v>0</v>
      </c>
      <c r="K1134" s="261">
        <f t="shared" si="442"/>
        <v>1.7514000000000001</v>
      </c>
      <c r="L1134" s="161"/>
      <c r="M1134" s="50"/>
      <c r="N1134" s="51"/>
      <c r="O1134" s="717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  <c r="AB1134" s="65"/>
      <c r="AC1134" s="65"/>
      <c r="AD1134" s="65"/>
      <c r="AE1134" s="65"/>
      <c r="AF1134" s="65"/>
      <c r="AG1134" s="65"/>
      <c r="AH1134" s="65"/>
      <c r="AI1134" s="65"/>
      <c r="AJ1134" s="65"/>
      <c r="AK1134" s="65"/>
      <c r="AL1134" s="65"/>
      <c r="AM1134" s="65"/>
      <c r="AN1134" s="65"/>
      <c r="AO1134" s="65"/>
      <c r="AP1134" s="65"/>
      <c r="AQ1134" s="65"/>
      <c r="AR1134" s="65"/>
      <c r="AS1134" s="65"/>
      <c r="AT1134" s="65"/>
      <c r="AU1134" s="65"/>
      <c r="AV1134" s="65"/>
      <c r="AW1134" s="65"/>
      <c r="AX1134" s="65"/>
      <c r="AY1134" s="65"/>
      <c r="AZ1134" s="65"/>
      <c r="BA1134" s="65"/>
      <c r="BB1134" s="65"/>
      <c r="BC1134" s="65"/>
      <c r="BD1134" s="65"/>
      <c r="BE1134" s="66"/>
    </row>
    <row r="1135" spans="1:57" s="48" customFormat="1" ht="15.75" customHeight="1" x14ac:dyDescent="0.2">
      <c r="A1135" s="675" t="s">
        <v>721</v>
      </c>
      <c r="B1135" s="720" t="s">
        <v>501</v>
      </c>
      <c r="C1135" s="282"/>
      <c r="D1135" s="46" t="s">
        <v>198</v>
      </c>
      <c r="E1135" s="58">
        <f>E1136+E1137+E1138+E1139+E1140+E1141+E1142+E1143</f>
        <v>8.4458899999999986</v>
      </c>
      <c r="F1135" s="58">
        <f>F1136+F1137+F1138+F1139+F1140+F1141+F1142+F1143</f>
        <v>8.4458899999999986</v>
      </c>
      <c r="G1135" s="58">
        <f t="shared" ref="G1135:J1135" si="453">G1136+G1137+G1138+G1139+G1140+G1141+G1142+G1143</f>
        <v>0</v>
      </c>
      <c r="H1135" s="58">
        <f t="shared" si="453"/>
        <v>0</v>
      </c>
      <c r="I1135" s="58">
        <f t="shared" si="453"/>
        <v>0</v>
      </c>
      <c r="J1135" s="58">
        <f t="shared" si="453"/>
        <v>0</v>
      </c>
      <c r="K1135" s="261">
        <f t="shared" si="442"/>
        <v>8.4458899999999986</v>
      </c>
      <c r="L1135" s="633"/>
      <c r="M1135" s="50"/>
      <c r="N1135" s="51"/>
      <c r="O1135" s="717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  <c r="AF1135" s="65"/>
      <c r="AG1135" s="65"/>
      <c r="AH1135" s="65"/>
      <c r="AI1135" s="65"/>
      <c r="AJ1135" s="65"/>
      <c r="AK1135" s="65"/>
      <c r="AL1135" s="65"/>
      <c r="AM1135" s="65"/>
      <c r="AN1135" s="65"/>
      <c r="AO1135" s="65"/>
      <c r="AP1135" s="65"/>
      <c r="AQ1135" s="65"/>
      <c r="AR1135" s="65"/>
      <c r="AS1135" s="65"/>
      <c r="AT1135" s="65"/>
      <c r="AU1135" s="65"/>
      <c r="AV1135" s="65"/>
      <c r="AW1135" s="65"/>
      <c r="AX1135" s="65"/>
      <c r="AY1135" s="65"/>
      <c r="AZ1135" s="65"/>
      <c r="BA1135" s="65"/>
      <c r="BB1135" s="65"/>
      <c r="BC1135" s="65"/>
      <c r="BD1135" s="65"/>
      <c r="BE1135" s="66"/>
    </row>
    <row r="1136" spans="1:57" s="330" customFormat="1" x14ac:dyDescent="0.2">
      <c r="A1136" s="722"/>
      <c r="B1136" s="721"/>
      <c r="C1136" s="446"/>
      <c r="D1136" s="331">
        <v>2019</v>
      </c>
      <c r="E1136" s="332">
        <f t="shared" ref="E1136:F1139" si="454">E1144</f>
        <v>0.53059000000000001</v>
      </c>
      <c r="F1136" s="332">
        <f>F1144</f>
        <v>0.53059000000000001</v>
      </c>
      <c r="G1136" s="332">
        <f t="shared" ref="G1136:J1139" si="455">G1144</f>
        <v>0</v>
      </c>
      <c r="H1136" s="332">
        <f t="shared" si="455"/>
        <v>0</v>
      </c>
      <c r="I1136" s="332">
        <f t="shared" si="455"/>
        <v>0</v>
      </c>
      <c r="J1136" s="332">
        <f t="shared" si="455"/>
        <v>0</v>
      </c>
      <c r="K1136" s="325">
        <f t="shared" si="442"/>
        <v>0.53059000000000001</v>
      </c>
      <c r="L1136" s="634"/>
      <c r="M1136" s="326"/>
      <c r="N1136" s="327"/>
      <c r="O1136" s="717"/>
      <c r="P1136" s="328"/>
      <c r="Q1136" s="328"/>
      <c r="R1136" s="328"/>
      <c r="S1136" s="328"/>
      <c r="T1136" s="328"/>
      <c r="U1136" s="328"/>
      <c r="V1136" s="328"/>
      <c r="W1136" s="328"/>
      <c r="X1136" s="328"/>
      <c r="Y1136" s="328"/>
      <c r="Z1136" s="328"/>
      <c r="AA1136" s="328"/>
      <c r="AB1136" s="328"/>
      <c r="AC1136" s="328"/>
      <c r="AD1136" s="328"/>
      <c r="AE1136" s="328"/>
      <c r="AF1136" s="328"/>
      <c r="AG1136" s="328"/>
      <c r="AH1136" s="328"/>
      <c r="AI1136" s="328"/>
      <c r="AJ1136" s="328"/>
      <c r="AK1136" s="328"/>
      <c r="AL1136" s="328"/>
      <c r="AM1136" s="328"/>
      <c r="AN1136" s="328"/>
      <c r="AO1136" s="328"/>
      <c r="AP1136" s="328"/>
      <c r="AQ1136" s="328"/>
      <c r="AR1136" s="328"/>
      <c r="AS1136" s="328"/>
      <c r="AT1136" s="328"/>
      <c r="AU1136" s="328"/>
      <c r="AV1136" s="328"/>
      <c r="AW1136" s="328"/>
      <c r="AX1136" s="328"/>
      <c r="AY1136" s="328"/>
      <c r="AZ1136" s="328"/>
      <c r="BA1136" s="328"/>
      <c r="BB1136" s="328"/>
      <c r="BC1136" s="328"/>
      <c r="BD1136" s="328"/>
      <c r="BE1136" s="329"/>
    </row>
    <row r="1137" spans="1:57" s="395" customFormat="1" x14ac:dyDescent="0.2">
      <c r="A1137" s="722"/>
      <c r="B1137" s="721"/>
      <c r="C1137" s="387"/>
      <c r="D1137" s="388">
        <v>2020</v>
      </c>
      <c r="E1137" s="389">
        <f t="shared" si="454"/>
        <v>0.73109999999999997</v>
      </c>
      <c r="F1137" s="389">
        <f>F1145</f>
        <v>0.73109999999999997</v>
      </c>
      <c r="G1137" s="389">
        <f t="shared" si="455"/>
        <v>0</v>
      </c>
      <c r="H1137" s="389">
        <f t="shared" si="455"/>
        <v>0</v>
      </c>
      <c r="I1137" s="389">
        <f t="shared" si="455"/>
        <v>0</v>
      </c>
      <c r="J1137" s="389">
        <f t="shared" si="455"/>
        <v>0</v>
      </c>
      <c r="K1137" s="390">
        <f t="shared" si="442"/>
        <v>0.73109999999999997</v>
      </c>
      <c r="L1137" s="634"/>
      <c r="M1137" s="391"/>
      <c r="N1137" s="392"/>
      <c r="O1137" s="717"/>
      <c r="P1137" s="393"/>
      <c r="Q1137" s="393"/>
      <c r="R1137" s="393"/>
      <c r="S1137" s="393"/>
      <c r="T1137" s="393"/>
      <c r="U1137" s="393"/>
      <c r="V1137" s="393"/>
      <c r="W1137" s="393"/>
      <c r="X1137" s="393"/>
      <c r="Y1137" s="393"/>
      <c r="Z1137" s="393"/>
      <c r="AA1137" s="393"/>
      <c r="AB1137" s="393"/>
      <c r="AC1137" s="393"/>
      <c r="AD1137" s="393"/>
      <c r="AE1137" s="393"/>
      <c r="AF1137" s="393"/>
      <c r="AG1137" s="393"/>
      <c r="AH1137" s="393"/>
      <c r="AI1137" s="393"/>
      <c r="AJ1137" s="393"/>
      <c r="AK1137" s="393"/>
      <c r="AL1137" s="393"/>
      <c r="AM1137" s="393"/>
      <c r="AN1137" s="393"/>
      <c r="AO1137" s="393"/>
      <c r="AP1137" s="393"/>
      <c r="AQ1137" s="393"/>
      <c r="AR1137" s="393"/>
      <c r="AS1137" s="393"/>
      <c r="AT1137" s="393"/>
      <c r="AU1137" s="393"/>
      <c r="AV1137" s="393"/>
      <c r="AW1137" s="393"/>
      <c r="AX1137" s="393"/>
      <c r="AY1137" s="393"/>
      <c r="AZ1137" s="393"/>
      <c r="BA1137" s="393"/>
      <c r="BB1137" s="393"/>
      <c r="BC1137" s="393"/>
      <c r="BD1137" s="393"/>
      <c r="BE1137" s="394"/>
    </row>
    <row r="1138" spans="1:57" s="395" customFormat="1" x14ac:dyDescent="0.2">
      <c r="A1138" s="722"/>
      <c r="B1138" s="721"/>
      <c r="C1138" s="387"/>
      <c r="D1138" s="388">
        <v>2021</v>
      </c>
      <c r="E1138" s="389">
        <f t="shared" si="454"/>
        <v>0.76029999999999998</v>
      </c>
      <c r="F1138" s="389">
        <f>F1146</f>
        <v>0.76029999999999998</v>
      </c>
      <c r="G1138" s="389">
        <f t="shared" si="455"/>
        <v>0</v>
      </c>
      <c r="H1138" s="389">
        <f t="shared" si="455"/>
        <v>0</v>
      </c>
      <c r="I1138" s="389">
        <f t="shared" si="455"/>
        <v>0</v>
      </c>
      <c r="J1138" s="389">
        <f t="shared" si="455"/>
        <v>0</v>
      </c>
      <c r="K1138" s="390">
        <f t="shared" si="442"/>
        <v>0.76029999999999998</v>
      </c>
      <c r="L1138" s="634"/>
      <c r="M1138" s="391"/>
      <c r="N1138" s="392"/>
      <c r="O1138" s="717"/>
      <c r="P1138" s="393"/>
      <c r="Q1138" s="393"/>
      <c r="R1138" s="393"/>
      <c r="S1138" s="393"/>
      <c r="T1138" s="393"/>
      <c r="U1138" s="393"/>
      <c r="V1138" s="393"/>
      <c r="W1138" s="393"/>
      <c r="X1138" s="393"/>
      <c r="Y1138" s="393"/>
      <c r="Z1138" s="393"/>
      <c r="AA1138" s="393"/>
      <c r="AB1138" s="393"/>
      <c r="AC1138" s="393"/>
      <c r="AD1138" s="393"/>
      <c r="AE1138" s="393"/>
      <c r="AF1138" s="393"/>
      <c r="AG1138" s="393"/>
      <c r="AH1138" s="393"/>
      <c r="AI1138" s="393"/>
      <c r="AJ1138" s="393"/>
      <c r="AK1138" s="393"/>
      <c r="AL1138" s="393"/>
      <c r="AM1138" s="393"/>
      <c r="AN1138" s="393"/>
      <c r="AO1138" s="393"/>
      <c r="AP1138" s="393"/>
      <c r="AQ1138" s="393"/>
      <c r="AR1138" s="393"/>
      <c r="AS1138" s="393"/>
      <c r="AT1138" s="393"/>
      <c r="AU1138" s="393"/>
      <c r="AV1138" s="393"/>
      <c r="AW1138" s="393"/>
      <c r="AX1138" s="393"/>
      <c r="AY1138" s="393"/>
      <c r="AZ1138" s="393"/>
      <c r="BA1138" s="393"/>
      <c r="BB1138" s="393"/>
      <c r="BC1138" s="393"/>
      <c r="BD1138" s="393"/>
      <c r="BE1138" s="394"/>
    </row>
    <row r="1139" spans="1:57" s="395" customFormat="1" x14ac:dyDescent="0.2">
      <c r="A1139" s="722"/>
      <c r="B1139" s="721"/>
      <c r="C1139" s="387"/>
      <c r="D1139" s="388">
        <v>2022</v>
      </c>
      <c r="E1139" s="389">
        <f t="shared" si="454"/>
        <v>0.79079999999999995</v>
      </c>
      <c r="F1139" s="389">
        <f t="shared" si="454"/>
        <v>0.79079999999999995</v>
      </c>
      <c r="G1139" s="389">
        <f t="shared" si="455"/>
        <v>0</v>
      </c>
      <c r="H1139" s="389">
        <f t="shared" si="455"/>
        <v>0</v>
      </c>
      <c r="I1139" s="389">
        <f t="shared" si="455"/>
        <v>0</v>
      </c>
      <c r="J1139" s="389">
        <f t="shared" si="455"/>
        <v>0</v>
      </c>
      <c r="K1139" s="390">
        <f t="shared" si="442"/>
        <v>0.79079999999999995</v>
      </c>
      <c r="L1139" s="634"/>
      <c r="M1139" s="391"/>
      <c r="N1139" s="392"/>
      <c r="O1139" s="717"/>
      <c r="P1139" s="393"/>
      <c r="Q1139" s="393"/>
      <c r="R1139" s="393"/>
      <c r="S1139" s="393"/>
      <c r="T1139" s="393"/>
      <c r="U1139" s="393"/>
      <c r="V1139" s="393"/>
      <c r="W1139" s="393"/>
      <c r="X1139" s="393"/>
      <c r="Y1139" s="393"/>
      <c r="Z1139" s="393"/>
      <c r="AA1139" s="393"/>
      <c r="AB1139" s="393"/>
      <c r="AC1139" s="393"/>
      <c r="AD1139" s="393"/>
      <c r="AE1139" s="393"/>
      <c r="AF1139" s="393"/>
      <c r="AG1139" s="393"/>
      <c r="AH1139" s="393"/>
      <c r="AI1139" s="393"/>
      <c r="AJ1139" s="393"/>
      <c r="AK1139" s="393"/>
      <c r="AL1139" s="393"/>
      <c r="AM1139" s="393"/>
      <c r="AN1139" s="393"/>
      <c r="AO1139" s="393"/>
      <c r="AP1139" s="393"/>
      <c r="AQ1139" s="393"/>
      <c r="AR1139" s="393"/>
      <c r="AS1139" s="393"/>
      <c r="AT1139" s="393"/>
      <c r="AU1139" s="393"/>
      <c r="AV1139" s="393"/>
      <c r="AW1139" s="393"/>
      <c r="AX1139" s="393"/>
      <c r="AY1139" s="393"/>
      <c r="AZ1139" s="393"/>
      <c r="BA1139" s="393"/>
      <c r="BB1139" s="393"/>
      <c r="BC1139" s="393"/>
      <c r="BD1139" s="393"/>
      <c r="BE1139" s="394"/>
    </row>
    <row r="1140" spans="1:57" s="48" customFormat="1" x14ac:dyDescent="0.2">
      <c r="A1140" s="722"/>
      <c r="B1140" s="721"/>
      <c r="C1140" s="282"/>
      <c r="D1140" s="189">
        <v>2023</v>
      </c>
      <c r="E1140" s="188">
        <f>F1140</f>
        <v>0.82240000000000002</v>
      </c>
      <c r="F1140" s="188">
        <f>F1148</f>
        <v>0.82240000000000002</v>
      </c>
      <c r="G1140" s="188">
        <v>0</v>
      </c>
      <c r="H1140" s="188">
        <v>0</v>
      </c>
      <c r="I1140" s="188">
        <v>0</v>
      </c>
      <c r="J1140" s="188">
        <v>0</v>
      </c>
      <c r="K1140" s="261">
        <f t="shared" si="442"/>
        <v>0.82240000000000002</v>
      </c>
      <c r="L1140" s="634"/>
      <c r="M1140" s="50"/>
      <c r="N1140" s="51"/>
      <c r="O1140" s="717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  <c r="AH1140" s="65"/>
      <c r="AI1140" s="65"/>
      <c r="AJ1140" s="65"/>
      <c r="AK1140" s="65"/>
      <c r="AL1140" s="65"/>
      <c r="AM1140" s="65"/>
      <c r="AN1140" s="65"/>
      <c r="AO1140" s="65"/>
      <c r="AP1140" s="65"/>
      <c r="AQ1140" s="65"/>
      <c r="AR1140" s="65"/>
      <c r="AS1140" s="65"/>
      <c r="AT1140" s="65"/>
      <c r="AU1140" s="65"/>
      <c r="AV1140" s="65"/>
      <c r="AW1140" s="65"/>
      <c r="AX1140" s="65"/>
      <c r="AY1140" s="65"/>
      <c r="AZ1140" s="65"/>
      <c r="BA1140" s="65"/>
      <c r="BB1140" s="65"/>
      <c r="BC1140" s="65"/>
      <c r="BD1140" s="65"/>
      <c r="BE1140" s="66"/>
    </row>
    <row r="1141" spans="1:57" s="48" customFormat="1" x14ac:dyDescent="0.2">
      <c r="A1141" s="722"/>
      <c r="B1141" s="721"/>
      <c r="C1141" s="282"/>
      <c r="D1141" s="189">
        <v>2024</v>
      </c>
      <c r="E1141" s="188">
        <f>F1141</f>
        <v>0.85529999999999995</v>
      </c>
      <c r="F1141" s="188">
        <f>F1149</f>
        <v>0.85529999999999995</v>
      </c>
      <c r="G1141" s="188">
        <v>0</v>
      </c>
      <c r="H1141" s="188">
        <v>0</v>
      </c>
      <c r="I1141" s="188">
        <v>0</v>
      </c>
      <c r="J1141" s="188">
        <v>0</v>
      </c>
      <c r="K1141" s="261">
        <f t="shared" si="442"/>
        <v>0.85529999999999995</v>
      </c>
      <c r="L1141" s="634"/>
      <c r="M1141" s="50"/>
      <c r="N1141" s="51"/>
      <c r="O1141" s="717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  <c r="AC1141" s="65"/>
      <c r="AD1141" s="65"/>
      <c r="AE1141" s="65"/>
      <c r="AF1141" s="65"/>
      <c r="AG1141" s="65"/>
      <c r="AH1141" s="65"/>
      <c r="AI1141" s="65"/>
      <c r="AJ1141" s="65"/>
      <c r="AK1141" s="65"/>
      <c r="AL1141" s="65"/>
      <c r="AM1141" s="65"/>
      <c r="AN1141" s="65"/>
      <c r="AO1141" s="65"/>
      <c r="AP1141" s="65"/>
      <c r="AQ1141" s="65"/>
      <c r="AR1141" s="65"/>
      <c r="AS1141" s="65"/>
      <c r="AT1141" s="65"/>
      <c r="AU1141" s="65"/>
      <c r="AV1141" s="65"/>
      <c r="AW1141" s="65"/>
      <c r="AX1141" s="65"/>
      <c r="AY1141" s="65"/>
      <c r="AZ1141" s="65"/>
      <c r="BA1141" s="65"/>
      <c r="BB1141" s="65"/>
      <c r="BC1141" s="65"/>
      <c r="BD1141" s="65"/>
      <c r="BE1141" s="66"/>
    </row>
    <row r="1142" spans="1:57" s="48" customFormat="1" x14ac:dyDescent="0.2">
      <c r="A1142" s="722"/>
      <c r="B1142" s="721"/>
      <c r="C1142" s="282"/>
      <c r="D1142" s="189">
        <v>2025</v>
      </c>
      <c r="E1142" s="188">
        <f>F1142</f>
        <v>0.88949999999999996</v>
      </c>
      <c r="F1142" s="188">
        <f>F1150</f>
        <v>0.88949999999999996</v>
      </c>
      <c r="G1142" s="188">
        <v>0</v>
      </c>
      <c r="H1142" s="188">
        <v>0</v>
      </c>
      <c r="I1142" s="188">
        <v>0</v>
      </c>
      <c r="J1142" s="188">
        <v>0</v>
      </c>
      <c r="K1142" s="261">
        <f t="shared" si="442"/>
        <v>0.88949999999999996</v>
      </c>
      <c r="L1142" s="634"/>
      <c r="M1142" s="50"/>
      <c r="N1142" s="51"/>
      <c r="O1142" s="717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  <c r="AC1142" s="65"/>
      <c r="AD1142" s="65"/>
      <c r="AE1142" s="65"/>
      <c r="AF1142" s="65"/>
      <c r="AG1142" s="65"/>
      <c r="AH1142" s="65"/>
      <c r="AI1142" s="65"/>
      <c r="AJ1142" s="65"/>
      <c r="AK1142" s="65"/>
      <c r="AL1142" s="65"/>
      <c r="AM1142" s="65"/>
      <c r="AN1142" s="65"/>
      <c r="AO1142" s="65"/>
      <c r="AP1142" s="65"/>
      <c r="AQ1142" s="65"/>
      <c r="AR1142" s="65"/>
      <c r="AS1142" s="65"/>
      <c r="AT1142" s="65"/>
      <c r="AU1142" s="65"/>
      <c r="AV1142" s="65"/>
      <c r="AW1142" s="65"/>
      <c r="AX1142" s="65"/>
      <c r="AY1142" s="65"/>
      <c r="AZ1142" s="65"/>
      <c r="BA1142" s="65"/>
      <c r="BB1142" s="65"/>
      <c r="BC1142" s="65"/>
      <c r="BD1142" s="65"/>
      <c r="BE1142" s="66"/>
    </row>
    <row r="1143" spans="1:57" s="48" customFormat="1" x14ac:dyDescent="0.2">
      <c r="A1143" s="722"/>
      <c r="B1143" s="721"/>
      <c r="C1143" s="282"/>
      <c r="D1143" s="189">
        <v>2026</v>
      </c>
      <c r="E1143" s="188">
        <f>F1143</f>
        <v>3.0659000000000001</v>
      </c>
      <c r="F1143" s="188">
        <f>F1151</f>
        <v>3.0659000000000001</v>
      </c>
      <c r="G1143" s="188">
        <v>0</v>
      </c>
      <c r="H1143" s="188">
        <v>0</v>
      </c>
      <c r="I1143" s="188">
        <v>0</v>
      </c>
      <c r="J1143" s="188">
        <v>0</v>
      </c>
      <c r="K1143" s="261">
        <f t="shared" si="442"/>
        <v>3.0659000000000001</v>
      </c>
      <c r="L1143" s="634"/>
      <c r="M1143" s="50"/>
      <c r="N1143" s="51"/>
      <c r="O1143" s="717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  <c r="AC1143" s="65"/>
      <c r="AD1143" s="65"/>
      <c r="AE1143" s="65"/>
      <c r="AF1143" s="65"/>
      <c r="AG1143" s="65"/>
      <c r="AH1143" s="65"/>
      <c r="AI1143" s="65"/>
      <c r="AJ1143" s="65"/>
      <c r="AK1143" s="65"/>
      <c r="AL1143" s="65"/>
      <c r="AM1143" s="65"/>
      <c r="AN1143" s="65"/>
      <c r="AO1143" s="65"/>
      <c r="AP1143" s="65"/>
      <c r="AQ1143" s="65"/>
      <c r="AR1143" s="65"/>
      <c r="AS1143" s="65"/>
      <c r="AT1143" s="65"/>
      <c r="AU1143" s="65"/>
      <c r="AV1143" s="65"/>
      <c r="AW1143" s="65"/>
      <c r="AX1143" s="65"/>
      <c r="AY1143" s="65"/>
      <c r="AZ1143" s="65"/>
      <c r="BA1143" s="65"/>
      <c r="BB1143" s="65"/>
      <c r="BC1143" s="65"/>
      <c r="BD1143" s="65"/>
      <c r="BE1143" s="66"/>
    </row>
    <row r="1144" spans="1:57" s="48" customFormat="1" ht="46.5" customHeight="1" x14ac:dyDescent="0.2">
      <c r="A1144" s="182" t="s">
        <v>722</v>
      </c>
      <c r="B1144" s="183" t="s">
        <v>541</v>
      </c>
      <c r="C1144" s="282"/>
      <c r="D1144" s="189">
        <v>2019</v>
      </c>
      <c r="E1144" s="188">
        <f t="shared" ref="E1144:E1151" si="456">F1144+G1144+H1144+I1144+J1144</f>
        <v>0.53059000000000001</v>
      </c>
      <c r="F1144" s="188">
        <v>0.53059000000000001</v>
      </c>
      <c r="G1144" s="188">
        <v>0</v>
      </c>
      <c r="H1144" s="188">
        <v>0</v>
      </c>
      <c r="I1144" s="188">
        <v>0</v>
      </c>
      <c r="J1144" s="188">
        <v>0</v>
      </c>
      <c r="K1144" s="261">
        <f t="shared" si="442"/>
        <v>0.53059000000000001</v>
      </c>
      <c r="L1144" s="218"/>
      <c r="M1144" s="50"/>
      <c r="N1144" s="51"/>
      <c r="O1144" s="717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  <c r="AC1144" s="65"/>
      <c r="AD1144" s="65"/>
      <c r="AE1144" s="65"/>
      <c r="AF1144" s="65"/>
      <c r="AG1144" s="65"/>
      <c r="AH1144" s="65"/>
      <c r="AI1144" s="65"/>
      <c r="AJ1144" s="65"/>
      <c r="AK1144" s="65"/>
      <c r="AL1144" s="65"/>
      <c r="AM1144" s="65"/>
      <c r="AN1144" s="65"/>
      <c r="AO1144" s="65"/>
      <c r="AP1144" s="65"/>
      <c r="AQ1144" s="65"/>
      <c r="AR1144" s="65"/>
      <c r="AS1144" s="65"/>
      <c r="AT1144" s="65"/>
      <c r="AU1144" s="65"/>
      <c r="AV1144" s="65"/>
      <c r="AW1144" s="65"/>
      <c r="AX1144" s="65"/>
      <c r="AY1144" s="65"/>
      <c r="AZ1144" s="65"/>
      <c r="BA1144" s="65"/>
      <c r="BB1144" s="65"/>
      <c r="BC1144" s="65"/>
      <c r="BD1144" s="65"/>
      <c r="BE1144" s="66"/>
    </row>
    <row r="1145" spans="1:57" s="48" customFormat="1" ht="66.75" customHeight="1" x14ac:dyDescent="0.2">
      <c r="A1145" s="182" t="s">
        <v>723</v>
      </c>
      <c r="B1145" s="183" t="s">
        <v>946</v>
      </c>
      <c r="C1145" s="282"/>
      <c r="D1145" s="189">
        <v>2020</v>
      </c>
      <c r="E1145" s="188">
        <f t="shared" si="456"/>
        <v>0.73109999999999997</v>
      </c>
      <c r="F1145" s="188">
        <v>0.73109999999999997</v>
      </c>
      <c r="G1145" s="188">
        <v>0</v>
      </c>
      <c r="H1145" s="188">
        <v>0</v>
      </c>
      <c r="I1145" s="188">
        <v>0</v>
      </c>
      <c r="J1145" s="188">
        <v>0</v>
      </c>
      <c r="K1145" s="261">
        <f t="shared" si="442"/>
        <v>0.73109999999999997</v>
      </c>
      <c r="L1145" s="218"/>
      <c r="M1145" s="50"/>
      <c r="N1145" s="51"/>
      <c r="O1145" s="717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  <c r="AC1145" s="65"/>
      <c r="AD1145" s="65"/>
      <c r="AE1145" s="65"/>
      <c r="AF1145" s="65"/>
      <c r="AG1145" s="65"/>
      <c r="AH1145" s="65"/>
      <c r="AI1145" s="65"/>
      <c r="AJ1145" s="65"/>
      <c r="AK1145" s="65"/>
      <c r="AL1145" s="65"/>
      <c r="AM1145" s="65"/>
      <c r="AN1145" s="65"/>
      <c r="AO1145" s="65"/>
      <c r="AP1145" s="65"/>
      <c r="AQ1145" s="65"/>
      <c r="AR1145" s="65"/>
      <c r="AS1145" s="65"/>
      <c r="AT1145" s="65"/>
      <c r="AU1145" s="65"/>
      <c r="AV1145" s="65"/>
      <c r="AW1145" s="65"/>
      <c r="AX1145" s="65"/>
      <c r="AY1145" s="65"/>
      <c r="AZ1145" s="65"/>
      <c r="BA1145" s="65"/>
      <c r="BB1145" s="65"/>
      <c r="BC1145" s="65"/>
      <c r="BD1145" s="65"/>
      <c r="BE1145" s="66"/>
    </row>
    <row r="1146" spans="1:57" s="48" customFormat="1" ht="25.5" x14ac:dyDescent="0.2">
      <c r="A1146" s="182" t="s">
        <v>724</v>
      </c>
      <c r="B1146" s="183" t="s">
        <v>581</v>
      </c>
      <c r="C1146" s="282"/>
      <c r="D1146" s="189">
        <v>2021</v>
      </c>
      <c r="E1146" s="188">
        <f>F1146+G1146+H1146+I1146+J1146</f>
        <v>0.76029999999999998</v>
      </c>
      <c r="F1146" s="188">
        <v>0.76029999999999998</v>
      </c>
      <c r="G1146" s="188">
        <v>0</v>
      </c>
      <c r="H1146" s="188">
        <v>0</v>
      </c>
      <c r="I1146" s="188">
        <v>0</v>
      </c>
      <c r="J1146" s="188">
        <v>0</v>
      </c>
      <c r="K1146" s="261">
        <f t="shared" si="442"/>
        <v>0.76029999999999998</v>
      </c>
      <c r="L1146" s="218"/>
      <c r="M1146" s="50"/>
      <c r="N1146" s="51"/>
      <c r="O1146" s="717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  <c r="AC1146" s="65"/>
      <c r="AD1146" s="65"/>
      <c r="AE1146" s="65"/>
      <c r="AF1146" s="65"/>
      <c r="AG1146" s="65"/>
      <c r="AH1146" s="65"/>
      <c r="AI1146" s="65"/>
      <c r="AJ1146" s="65"/>
      <c r="AK1146" s="65"/>
      <c r="AL1146" s="65"/>
      <c r="AM1146" s="65"/>
      <c r="AN1146" s="65"/>
      <c r="AO1146" s="65"/>
      <c r="AP1146" s="65"/>
      <c r="AQ1146" s="65"/>
      <c r="AR1146" s="65"/>
      <c r="AS1146" s="65"/>
      <c r="AT1146" s="65"/>
      <c r="AU1146" s="65"/>
      <c r="AV1146" s="65"/>
      <c r="AW1146" s="65"/>
      <c r="AX1146" s="65"/>
      <c r="AY1146" s="65"/>
      <c r="AZ1146" s="65"/>
      <c r="BA1146" s="65"/>
      <c r="BB1146" s="65"/>
      <c r="BC1146" s="65"/>
      <c r="BD1146" s="65"/>
      <c r="BE1146" s="66"/>
    </row>
    <row r="1147" spans="1:57" s="48" customFormat="1" ht="25.5" x14ac:dyDescent="0.2">
      <c r="A1147" s="182" t="s">
        <v>725</v>
      </c>
      <c r="B1147" s="183" t="s">
        <v>543</v>
      </c>
      <c r="C1147" s="282"/>
      <c r="D1147" s="189">
        <v>2022</v>
      </c>
      <c r="E1147" s="188">
        <f t="shared" si="456"/>
        <v>0.79079999999999995</v>
      </c>
      <c r="F1147" s="188">
        <v>0.79079999999999995</v>
      </c>
      <c r="G1147" s="188">
        <v>0</v>
      </c>
      <c r="H1147" s="188">
        <v>0</v>
      </c>
      <c r="I1147" s="188">
        <v>0</v>
      </c>
      <c r="J1147" s="188">
        <v>0</v>
      </c>
      <c r="K1147" s="261">
        <f t="shared" si="442"/>
        <v>0.79079999999999995</v>
      </c>
      <c r="L1147" s="218"/>
      <c r="M1147" s="50"/>
      <c r="N1147" s="51"/>
      <c r="O1147" s="717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  <c r="AC1147" s="65"/>
      <c r="AD1147" s="65"/>
      <c r="AE1147" s="65"/>
      <c r="AF1147" s="65"/>
      <c r="AG1147" s="65"/>
      <c r="AH1147" s="65"/>
      <c r="AI1147" s="65"/>
      <c r="AJ1147" s="65"/>
      <c r="AK1147" s="65"/>
      <c r="AL1147" s="65"/>
      <c r="AM1147" s="65"/>
      <c r="AN1147" s="65"/>
      <c r="AO1147" s="65"/>
      <c r="AP1147" s="65"/>
      <c r="AQ1147" s="65"/>
      <c r="AR1147" s="65"/>
      <c r="AS1147" s="65"/>
      <c r="AT1147" s="65"/>
      <c r="AU1147" s="65"/>
      <c r="AV1147" s="65"/>
      <c r="AW1147" s="65"/>
      <c r="AX1147" s="65"/>
      <c r="AY1147" s="65"/>
      <c r="AZ1147" s="65"/>
      <c r="BA1147" s="65"/>
      <c r="BB1147" s="65"/>
      <c r="BC1147" s="65"/>
      <c r="BD1147" s="65"/>
      <c r="BE1147" s="66"/>
    </row>
    <row r="1148" spans="1:57" s="48" customFormat="1" ht="25.5" x14ac:dyDescent="0.2">
      <c r="A1148" s="179" t="s">
        <v>726</v>
      </c>
      <c r="B1148" s="183" t="s">
        <v>545</v>
      </c>
      <c r="C1148" s="282"/>
      <c r="D1148" s="189">
        <v>2023</v>
      </c>
      <c r="E1148" s="188">
        <f t="shared" si="456"/>
        <v>0.82240000000000002</v>
      </c>
      <c r="F1148" s="188">
        <v>0.82240000000000002</v>
      </c>
      <c r="G1148" s="188">
        <v>0</v>
      </c>
      <c r="H1148" s="188">
        <v>0</v>
      </c>
      <c r="I1148" s="188">
        <v>0</v>
      </c>
      <c r="J1148" s="188">
        <v>0</v>
      </c>
      <c r="K1148" s="261">
        <f t="shared" si="442"/>
        <v>0.82240000000000002</v>
      </c>
      <c r="L1148" s="218"/>
      <c r="M1148" s="50"/>
      <c r="N1148" s="51"/>
      <c r="O1148" s="717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  <c r="AC1148" s="65"/>
      <c r="AD1148" s="65"/>
      <c r="AE1148" s="65"/>
      <c r="AF1148" s="65"/>
      <c r="AG1148" s="65"/>
      <c r="AH1148" s="65"/>
      <c r="AI1148" s="65"/>
      <c r="AJ1148" s="65"/>
      <c r="AK1148" s="65"/>
      <c r="AL1148" s="65"/>
      <c r="AM1148" s="65"/>
      <c r="AN1148" s="65"/>
      <c r="AO1148" s="65"/>
      <c r="AP1148" s="65"/>
      <c r="AQ1148" s="65"/>
      <c r="AR1148" s="65"/>
      <c r="AS1148" s="65"/>
      <c r="AT1148" s="65"/>
      <c r="AU1148" s="65"/>
      <c r="AV1148" s="65"/>
      <c r="AW1148" s="65"/>
      <c r="AX1148" s="65"/>
      <c r="AY1148" s="65"/>
      <c r="AZ1148" s="65"/>
      <c r="BA1148" s="65"/>
      <c r="BB1148" s="65"/>
      <c r="BC1148" s="65"/>
      <c r="BD1148" s="65"/>
      <c r="BE1148" s="66"/>
    </row>
    <row r="1149" spans="1:57" s="48" customFormat="1" ht="38.25" x14ac:dyDescent="0.2">
      <c r="A1149" s="179" t="s">
        <v>776</v>
      </c>
      <c r="B1149" s="183" t="s">
        <v>947</v>
      </c>
      <c r="C1149" s="282"/>
      <c r="D1149" s="189">
        <v>2024</v>
      </c>
      <c r="E1149" s="188">
        <f t="shared" si="456"/>
        <v>0.85529999999999995</v>
      </c>
      <c r="F1149" s="188">
        <v>0.85529999999999995</v>
      </c>
      <c r="G1149" s="188">
        <v>0</v>
      </c>
      <c r="H1149" s="188">
        <v>0</v>
      </c>
      <c r="I1149" s="188">
        <v>0</v>
      </c>
      <c r="J1149" s="188">
        <v>0</v>
      </c>
      <c r="K1149" s="261">
        <f t="shared" si="442"/>
        <v>0.85529999999999995</v>
      </c>
      <c r="L1149" s="218"/>
      <c r="M1149" s="50"/>
      <c r="N1149" s="51"/>
      <c r="O1149" s="717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  <c r="AC1149" s="65"/>
      <c r="AD1149" s="65"/>
      <c r="AE1149" s="65"/>
      <c r="AF1149" s="65"/>
      <c r="AG1149" s="65"/>
      <c r="AH1149" s="65"/>
      <c r="AI1149" s="65"/>
      <c r="AJ1149" s="65"/>
      <c r="AK1149" s="65"/>
      <c r="AL1149" s="65"/>
      <c r="AM1149" s="65"/>
      <c r="AN1149" s="65"/>
      <c r="AO1149" s="65"/>
      <c r="AP1149" s="65"/>
      <c r="AQ1149" s="65"/>
      <c r="AR1149" s="65"/>
      <c r="AS1149" s="65"/>
      <c r="AT1149" s="65"/>
      <c r="AU1149" s="65"/>
      <c r="AV1149" s="65"/>
      <c r="AW1149" s="65"/>
      <c r="AX1149" s="65"/>
      <c r="AY1149" s="65"/>
      <c r="AZ1149" s="65"/>
      <c r="BA1149" s="65"/>
      <c r="BB1149" s="65"/>
      <c r="BC1149" s="65"/>
      <c r="BD1149" s="65"/>
      <c r="BE1149" s="66"/>
    </row>
    <row r="1150" spans="1:57" s="48" customFormat="1" ht="25.5" x14ac:dyDescent="0.2">
      <c r="A1150" s="179" t="s">
        <v>777</v>
      </c>
      <c r="B1150" s="183" t="s">
        <v>544</v>
      </c>
      <c r="C1150" s="282"/>
      <c r="D1150" s="189">
        <v>2025</v>
      </c>
      <c r="E1150" s="188">
        <f t="shared" si="456"/>
        <v>0.88949999999999996</v>
      </c>
      <c r="F1150" s="188">
        <v>0.88949999999999996</v>
      </c>
      <c r="G1150" s="188">
        <v>0</v>
      </c>
      <c r="H1150" s="188">
        <v>0</v>
      </c>
      <c r="I1150" s="188">
        <v>0</v>
      </c>
      <c r="J1150" s="188">
        <v>0</v>
      </c>
      <c r="K1150" s="261">
        <f t="shared" si="442"/>
        <v>0.88949999999999996</v>
      </c>
      <c r="L1150" s="218"/>
      <c r="M1150" s="50"/>
      <c r="N1150" s="51"/>
      <c r="O1150" s="717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  <c r="AC1150" s="65"/>
      <c r="AD1150" s="65"/>
      <c r="AE1150" s="65"/>
      <c r="AF1150" s="65"/>
      <c r="AG1150" s="65"/>
      <c r="AH1150" s="65"/>
      <c r="AI1150" s="65"/>
      <c r="AJ1150" s="65"/>
      <c r="AK1150" s="65"/>
      <c r="AL1150" s="65"/>
      <c r="AM1150" s="65"/>
      <c r="AN1150" s="65"/>
      <c r="AO1150" s="65"/>
      <c r="AP1150" s="65"/>
      <c r="AQ1150" s="65"/>
      <c r="AR1150" s="65"/>
      <c r="AS1150" s="65"/>
      <c r="AT1150" s="65"/>
      <c r="AU1150" s="65"/>
      <c r="AV1150" s="65"/>
      <c r="AW1150" s="65"/>
      <c r="AX1150" s="65"/>
      <c r="AY1150" s="65"/>
      <c r="AZ1150" s="65"/>
      <c r="BA1150" s="65"/>
      <c r="BB1150" s="65"/>
      <c r="BC1150" s="65"/>
      <c r="BD1150" s="65"/>
      <c r="BE1150" s="66"/>
    </row>
    <row r="1151" spans="1:57" s="48" customFormat="1" ht="29.25" customHeight="1" x14ac:dyDescent="0.2">
      <c r="A1151" s="179" t="s">
        <v>778</v>
      </c>
      <c r="B1151" s="183" t="s">
        <v>542</v>
      </c>
      <c r="C1151" s="283"/>
      <c r="D1151" s="189">
        <v>2026</v>
      </c>
      <c r="E1151" s="188">
        <f t="shared" si="456"/>
        <v>3.0659000000000001</v>
      </c>
      <c r="F1151" s="188">
        <v>3.0659000000000001</v>
      </c>
      <c r="G1151" s="188">
        <v>0</v>
      </c>
      <c r="H1151" s="188">
        <v>0</v>
      </c>
      <c r="I1151" s="188">
        <v>0</v>
      </c>
      <c r="J1151" s="188">
        <v>0</v>
      </c>
      <c r="K1151" s="261">
        <f t="shared" si="442"/>
        <v>3.0659000000000001</v>
      </c>
      <c r="L1151" s="218"/>
      <c r="M1151" s="50"/>
      <c r="N1151" s="51"/>
      <c r="O1151" s="717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  <c r="AC1151" s="65"/>
      <c r="AD1151" s="65"/>
      <c r="AE1151" s="65"/>
      <c r="AF1151" s="65"/>
      <c r="AG1151" s="65"/>
      <c r="AH1151" s="65"/>
      <c r="AI1151" s="65"/>
      <c r="AJ1151" s="65"/>
      <c r="AK1151" s="65"/>
      <c r="AL1151" s="65"/>
      <c r="AM1151" s="65"/>
      <c r="AN1151" s="65"/>
      <c r="AO1151" s="65"/>
      <c r="AP1151" s="65"/>
      <c r="AQ1151" s="65"/>
      <c r="AR1151" s="65"/>
      <c r="AS1151" s="65"/>
      <c r="AT1151" s="65"/>
      <c r="AU1151" s="65"/>
      <c r="AV1151" s="65"/>
      <c r="AW1151" s="65"/>
      <c r="AX1151" s="65"/>
      <c r="AY1151" s="65"/>
      <c r="AZ1151" s="65"/>
      <c r="BA1151" s="65"/>
      <c r="BB1151" s="65"/>
      <c r="BC1151" s="65"/>
      <c r="BD1151" s="65"/>
      <c r="BE1151" s="66"/>
    </row>
    <row r="1152" spans="1:57" s="65" customFormat="1" x14ac:dyDescent="0.2">
      <c r="A1152" s="635">
        <v>21</v>
      </c>
      <c r="B1152" s="649" t="s">
        <v>314</v>
      </c>
      <c r="C1152" s="710"/>
      <c r="D1152" s="236" t="s">
        <v>198</v>
      </c>
      <c r="E1152" s="159">
        <f>SUM(E1153:E1164)</f>
        <v>0.11700000000000001</v>
      </c>
      <c r="F1152" s="159">
        <f t="shared" ref="F1152:J1152" si="457">SUM(F1153:F1164)</f>
        <v>0.11700000000000001</v>
      </c>
      <c r="G1152" s="159">
        <f t="shared" si="457"/>
        <v>0</v>
      </c>
      <c r="H1152" s="159">
        <f t="shared" si="457"/>
        <v>0</v>
      </c>
      <c r="I1152" s="159">
        <f t="shared" si="457"/>
        <v>0</v>
      </c>
      <c r="J1152" s="159">
        <f t="shared" si="457"/>
        <v>0</v>
      </c>
      <c r="K1152" s="261">
        <f t="shared" si="442"/>
        <v>0.11700000000000001</v>
      </c>
      <c r="L1152" s="257"/>
      <c r="M1152" s="258"/>
      <c r="N1152" s="165"/>
      <c r="O1152" s="164"/>
    </row>
    <row r="1153" spans="1:15" s="65" customFormat="1" x14ac:dyDescent="0.2">
      <c r="A1153" s="636"/>
      <c r="B1153" s="725"/>
      <c r="C1153" s="711"/>
      <c r="D1153" s="236">
        <v>2019</v>
      </c>
      <c r="E1153" s="159">
        <f>E1177+E1179</f>
        <v>0.11700000000000001</v>
      </c>
      <c r="F1153" s="384">
        <f t="shared" ref="F1153:K1153" si="458">F1177+F1179</f>
        <v>0.11700000000000001</v>
      </c>
      <c r="G1153" s="384">
        <f t="shared" si="458"/>
        <v>0</v>
      </c>
      <c r="H1153" s="384">
        <f t="shared" si="458"/>
        <v>0</v>
      </c>
      <c r="I1153" s="384">
        <f t="shared" si="458"/>
        <v>0</v>
      </c>
      <c r="J1153" s="384">
        <f t="shared" si="458"/>
        <v>0</v>
      </c>
      <c r="K1153" s="384">
        <f t="shared" si="458"/>
        <v>0.11700000000000001</v>
      </c>
      <c r="L1153" s="257"/>
      <c r="M1153" s="258"/>
      <c r="N1153" s="165"/>
      <c r="O1153" s="164"/>
    </row>
    <row r="1154" spans="1:15" s="65" customFormat="1" x14ac:dyDescent="0.2">
      <c r="A1154" s="636"/>
      <c r="B1154" s="725"/>
      <c r="C1154" s="711"/>
      <c r="D1154" s="236">
        <v>2020</v>
      </c>
      <c r="E1154" s="159">
        <f>F1154+G1154+H1154+I1154+J1154</f>
        <v>0</v>
      </c>
      <c r="F1154" s="159">
        <f>F1166</f>
        <v>0</v>
      </c>
      <c r="G1154" s="159">
        <f>G1166+G1193</f>
        <v>0</v>
      </c>
      <c r="H1154" s="159">
        <f>H1166+H1193</f>
        <v>0</v>
      </c>
      <c r="I1154" s="159">
        <f>I1166+I1193</f>
        <v>0</v>
      </c>
      <c r="J1154" s="159">
        <f>J1166+J1193</f>
        <v>0</v>
      </c>
      <c r="K1154" s="261">
        <f t="shared" si="442"/>
        <v>0</v>
      </c>
      <c r="L1154" s="257"/>
      <c r="M1154" s="258"/>
      <c r="N1154" s="165"/>
      <c r="O1154" s="164"/>
    </row>
    <row r="1155" spans="1:15" s="65" customFormat="1" x14ac:dyDescent="0.2">
      <c r="A1155" s="636"/>
      <c r="B1155" s="725"/>
      <c r="C1155" s="711"/>
      <c r="D1155" s="236">
        <v>2021</v>
      </c>
      <c r="E1155" s="159">
        <f t="shared" ref="E1155:E1164" si="459">F1155+G1155+H1155+I1155+J1155</f>
        <v>0</v>
      </c>
      <c r="F1155" s="159">
        <f>F1166</f>
        <v>0</v>
      </c>
      <c r="G1155" s="159">
        <f t="shared" ref="G1155:J1155" si="460">G1166</f>
        <v>0</v>
      </c>
      <c r="H1155" s="159">
        <f t="shared" si="460"/>
        <v>0</v>
      </c>
      <c r="I1155" s="159">
        <f t="shared" si="460"/>
        <v>0</v>
      </c>
      <c r="J1155" s="159">
        <f t="shared" si="460"/>
        <v>0</v>
      </c>
      <c r="K1155" s="261">
        <f t="shared" si="442"/>
        <v>0</v>
      </c>
      <c r="L1155" s="257"/>
      <c r="M1155" s="258"/>
      <c r="N1155" s="165"/>
      <c r="O1155" s="164"/>
    </row>
    <row r="1156" spans="1:15" s="65" customFormat="1" x14ac:dyDescent="0.2">
      <c r="A1156" s="636"/>
      <c r="B1156" s="725"/>
      <c r="C1156" s="711"/>
      <c r="D1156" s="236">
        <v>2022</v>
      </c>
      <c r="E1156" s="159">
        <f t="shared" si="459"/>
        <v>0</v>
      </c>
      <c r="F1156" s="159">
        <f t="shared" ref="F1156:J1164" si="461">F1168</f>
        <v>0</v>
      </c>
      <c r="G1156" s="159">
        <f t="shared" si="461"/>
        <v>0</v>
      </c>
      <c r="H1156" s="159">
        <f t="shared" si="461"/>
        <v>0</v>
      </c>
      <c r="I1156" s="159">
        <f t="shared" si="461"/>
        <v>0</v>
      </c>
      <c r="J1156" s="159">
        <f t="shared" si="461"/>
        <v>0</v>
      </c>
      <c r="K1156" s="261">
        <f t="shared" si="442"/>
        <v>0</v>
      </c>
      <c r="L1156" s="257"/>
      <c r="M1156" s="258"/>
      <c r="N1156" s="165"/>
      <c r="O1156" s="164"/>
    </row>
    <row r="1157" spans="1:15" s="65" customFormat="1" x14ac:dyDescent="0.2">
      <c r="A1157" s="636"/>
      <c r="B1157" s="725"/>
      <c r="C1157" s="711"/>
      <c r="D1157" s="236">
        <v>2023</v>
      </c>
      <c r="E1157" s="159">
        <f t="shared" si="459"/>
        <v>0</v>
      </c>
      <c r="F1157" s="159">
        <f t="shared" si="461"/>
        <v>0</v>
      </c>
      <c r="G1157" s="159">
        <f t="shared" si="461"/>
        <v>0</v>
      </c>
      <c r="H1157" s="159">
        <f t="shared" si="461"/>
        <v>0</v>
      </c>
      <c r="I1157" s="159">
        <f t="shared" si="461"/>
        <v>0</v>
      </c>
      <c r="J1157" s="159">
        <f t="shared" si="461"/>
        <v>0</v>
      </c>
      <c r="K1157" s="261">
        <f t="shared" si="442"/>
        <v>0</v>
      </c>
      <c r="L1157" s="257"/>
      <c r="M1157" s="258"/>
      <c r="N1157" s="165"/>
      <c r="O1157" s="164"/>
    </row>
    <row r="1158" spans="1:15" s="65" customFormat="1" x14ac:dyDescent="0.2">
      <c r="A1158" s="636"/>
      <c r="B1158" s="725"/>
      <c r="C1158" s="711"/>
      <c r="D1158" s="236">
        <v>2024</v>
      </c>
      <c r="E1158" s="159">
        <f t="shared" si="459"/>
        <v>0</v>
      </c>
      <c r="F1158" s="159">
        <f t="shared" si="461"/>
        <v>0</v>
      </c>
      <c r="G1158" s="159">
        <f t="shared" si="461"/>
        <v>0</v>
      </c>
      <c r="H1158" s="159">
        <f t="shared" si="461"/>
        <v>0</v>
      </c>
      <c r="I1158" s="159">
        <f t="shared" si="461"/>
        <v>0</v>
      </c>
      <c r="J1158" s="159">
        <f t="shared" si="461"/>
        <v>0</v>
      </c>
      <c r="K1158" s="261">
        <f t="shared" si="442"/>
        <v>0</v>
      </c>
      <c r="L1158" s="257"/>
      <c r="M1158" s="258"/>
      <c r="N1158" s="165"/>
      <c r="O1158" s="164"/>
    </row>
    <row r="1159" spans="1:15" s="65" customFormat="1" x14ac:dyDescent="0.2">
      <c r="A1159" s="636"/>
      <c r="B1159" s="725"/>
      <c r="C1159" s="711"/>
      <c r="D1159" s="236">
        <v>2025</v>
      </c>
      <c r="E1159" s="159">
        <f t="shared" si="459"/>
        <v>0</v>
      </c>
      <c r="F1159" s="159">
        <f t="shared" si="461"/>
        <v>0</v>
      </c>
      <c r="G1159" s="159">
        <f t="shared" si="461"/>
        <v>0</v>
      </c>
      <c r="H1159" s="159">
        <f t="shared" si="461"/>
        <v>0</v>
      </c>
      <c r="I1159" s="159">
        <f t="shared" si="461"/>
        <v>0</v>
      </c>
      <c r="J1159" s="159">
        <f t="shared" si="461"/>
        <v>0</v>
      </c>
      <c r="K1159" s="261">
        <f t="shared" si="442"/>
        <v>0</v>
      </c>
      <c r="L1159" s="257"/>
      <c r="M1159" s="258"/>
      <c r="N1159" s="165"/>
      <c r="O1159" s="164"/>
    </row>
    <row r="1160" spans="1:15" s="65" customFormat="1" x14ac:dyDescent="0.2">
      <c r="A1160" s="636"/>
      <c r="B1160" s="725"/>
      <c r="C1160" s="711"/>
      <c r="D1160" s="236">
        <v>2026</v>
      </c>
      <c r="E1160" s="159">
        <f t="shared" si="459"/>
        <v>0</v>
      </c>
      <c r="F1160" s="159">
        <f t="shared" si="461"/>
        <v>0</v>
      </c>
      <c r="G1160" s="159">
        <f t="shared" si="461"/>
        <v>0</v>
      </c>
      <c r="H1160" s="159">
        <f t="shared" si="461"/>
        <v>0</v>
      </c>
      <c r="I1160" s="159">
        <f t="shared" si="461"/>
        <v>0</v>
      </c>
      <c r="J1160" s="159">
        <f t="shared" si="461"/>
        <v>0</v>
      </c>
      <c r="K1160" s="261">
        <f t="shared" si="442"/>
        <v>0</v>
      </c>
      <c r="L1160" s="257"/>
      <c r="M1160" s="258"/>
      <c r="N1160" s="165"/>
      <c r="O1160" s="164"/>
    </row>
    <row r="1161" spans="1:15" s="65" customFormat="1" x14ac:dyDescent="0.2">
      <c r="A1161" s="636"/>
      <c r="B1161" s="725"/>
      <c r="C1161" s="711"/>
      <c r="D1161" s="236">
        <v>2027</v>
      </c>
      <c r="E1161" s="159">
        <f t="shared" si="459"/>
        <v>0</v>
      </c>
      <c r="F1161" s="159">
        <f t="shared" si="461"/>
        <v>0</v>
      </c>
      <c r="G1161" s="159">
        <f t="shared" si="461"/>
        <v>0</v>
      </c>
      <c r="H1161" s="159">
        <f t="shared" si="461"/>
        <v>0</v>
      </c>
      <c r="I1161" s="159">
        <f t="shared" si="461"/>
        <v>0</v>
      </c>
      <c r="J1161" s="159">
        <f t="shared" si="461"/>
        <v>0</v>
      </c>
      <c r="K1161" s="261">
        <f t="shared" si="442"/>
        <v>0</v>
      </c>
      <c r="L1161" s="257"/>
      <c r="M1161" s="258"/>
      <c r="N1161" s="165"/>
      <c r="O1161" s="164"/>
    </row>
    <row r="1162" spans="1:15" s="65" customFormat="1" x14ac:dyDescent="0.2">
      <c r="A1162" s="636"/>
      <c r="B1162" s="725"/>
      <c r="C1162" s="711"/>
      <c r="D1162" s="236">
        <v>2028</v>
      </c>
      <c r="E1162" s="159">
        <f t="shared" si="459"/>
        <v>0</v>
      </c>
      <c r="F1162" s="159">
        <f t="shared" si="461"/>
        <v>0</v>
      </c>
      <c r="G1162" s="159">
        <f t="shared" si="461"/>
        <v>0</v>
      </c>
      <c r="H1162" s="159">
        <f t="shared" si="461"/>
        <v>0</v>
      </c>
      <c r="I1162" s="159">
        <f t="shared" si="461"/>
        <v>0</v>
      </c>
      <c r="J1162" s="159">
        <f t="shared" si="461"/>
        <v>0</v>
      </c>
      <c r="K1162" s="261">
        <f t="shared" si="442"/>
        <v>0</v>
      </c>
      <c r="L1162" s="257"/>
      <c r="M1162" s="258"/>
      <c r="N1162" s="165"/>
      <c r="O1162" s="164"/>
    </row>
    <row r="1163" spans="1:15" s="65" customFormat="1" x14ac:dyDescent="0.2">
      <c r="A1163" s="636"/>
      <c r="B1163" s="725"/>
      <c r="C1163" s="711"/>
      <c r="D1163" s="236">
        <v>2029</v>
      </c>
      <c r="E1163" s="159">
        <f t="shared" si="459"/>
        <v>0</v>
      </c>
      <c r="F1163" s="159">
        <f t="shared" si="461"/>
        <v>0</v>
      </c>
      <c r="G1163" s="159">
        <f t="shared" si="461"/>
        <v>0</v>
      </c>
      <c r="H1163" s="159">
        <f t="shared" si="461"/>
        <v>0</v>
      </c>
      <c r="I1163" s="159">
        <f t="shared" si="461"/>
        <v>0</v>
      </c>
      <c r="J1163" s="159">
        <f t="shared" si="461"/>
        <v>0</v>
      </c>
      <c r="K1163" s="261">
        <f t="shared" si="442"/>
        <v>0</v>
      </c>
      <c r="L1163" s="257"/>
      <c r="M1163" s="258"/>
      <c r="N1163" s="165"/>
      <c r="O1163" s="164"/>
    </row>
    <row r="1164" spans="1:15" s="65" customFormat="1" x14ac:dyDescent="0.2">
      <c r="A1164" s="637"/>
      <c r="B1164" s="726"/>
      <c r="C1164" s="712"/>
      <c r="D1164" s="236">
        <v>2030</v>
      </c>
      <c r="E1164" s="159">
        <f t="shared" si="459"/>
        <v>0</v>
      </c>
      <c r="F1164" s="159">
        <f t="shared" si="461"/>
        <v>0</v>
      </c>
      <c r="G1164" s="159">
        <f t="shared" si="461"/>
        <v>0</v>
      </c>
      <c r="H1164" s="159">
        <f t="shared" si="461"/>
        <v>0</v>
      </c>
      <c r="I1164" s="159">
        <f t="shared" si="461"/>
        <v>0</v>
      </c>
      <c r="J1164" s="159">
        <f t="shared" si="461"/>
        <v>0</v>
      </c>
      <c r="K1164" s="261">
        <f t="shared" si="442"/>
        <v>0</v>
      </c>
      <c r="L1164" s="257"/>
      <c r="M1164" s="258"/>
      <c r="N1164" s="165"/>
      <c r="O1164" s="164"/>
    </row>
    <row r="1165" spans="1:15" s="65" customFormat="1" x14ac:dyDescent="0.2">
      <c r="A1165" s="673" t="s">
        <v>1098</v>
      </c>
      <c r="B1165" s="631" t="s">
        <v>764</v>
      </c>
      <c r="C1165" s="284"/>
      <c r="D1165" s="236" t="s">
        <v>198</v>
      </c>
      <c r="E1165" s="159">
        <f t="shared" ref="E1165:J1165" si="462">SUM(E1166:E1176)</f>
        <v>0</v>
      </c>
      <c r="F1165" s="159">
        <f t="shared" si="462"/>
        <v>0</v>
      </c>
      <c r="G1165" s="159">
        <f t="shared" si="462"/>
        <v>0</v>
      </c>
      <c r="H1165" s="159">
        <f t="shared" si="462"/>
        <v>0</v>
      </c>
      <c r="I1165" s="159">
        <f t="shared" si="462"/>
        <v>0</v>
      </c>
      <c r="J1165" s="159">
        <f t="shared" si="462"/>
        <v>0</v>
      </c>
      <c r="K1165" s="261">
        <f t="shared" si="442"/>
        <v>0</v>
      </c>
      <c r="L1165" s="257"/>
      <c r="M1165" s="258"/>
      <c r="N1165" s="165"/>
      <c r="O1165" s="670" t="s">
        <v>739</v>
      </c>
    </row>
    <row r="1166" spans="1:15" s="65" customFormat="1" x14ac:dyDescent="0.2">
      <c r="A1166" s="713"/>
      <c r="B1166" s="648"/>
      <c r="C1166" s="723"/>
      <c r="D1166" s="197">
        <v>2020</v>
      </c>
      <c r="E1166" s="144">
        <f t="shared" ref="E1166:E1176" si="463">F1166+G1166+H1166+I1166+J1166</f>
        <v>0</v>
      </c>
      <c r="F1166" s="144">
        <v>0</v>
      </c>
      <c r="G1166" s="144">
        <v>0</v>
      </c>
      <c r="H1166" s="144">
        <v>0</v>
      </c>
      <c r="I1166" s="144">
        <v>0</v>
      </c>
      <c r="J1166" s="144">
        <v>0</v>
      </c>
      <c r="K1166" s="261">
        <f t="shared" si="442"/>
        <v>0</v>
      </c>
      <c r="L1166" s="257"/>
      <c r="M1166" s="258"/>
      <c r="N1166" s="165"/>
      <c r="O1166" s="671"/>
    </row>
    <row r="1167" spans="1:15" s="65" customFormat="1" ht="12.75" customHeight="1" x14ac:dyDescent="0.2">
      <c r="A1167" s="713"/>
      <c r="B1167" s="648"/>
      <c r="C1167" s="723"/>
      <c r="D1167" s="197">
        <v>2021</v>
      </c>
      <c r="E1167" s="144">
        <f t="shared" si="463"/>
        <v>0</v>
      </c>
      <c r="F1167" s="144">
        <v>0</v>
      </c>
      <c r="G1167" s="144">
        <v>0</v>
      </c>
      <c r="H1167" s="144">
        <v>0</v>
      </c>
      <c r="I1167" s="144">
        <v>0</v>
      </c>
      <c r="J1167" s="144">
        <v>0</v>
      </c>
      <c r="K1167" s="261">
        <f t="shared" ref="K1167:K1205" si="464">F1167+G1167+H1167+I1167+J1167</f>
        <v>0</v>
      </c>
      <c r="L1167" s="257"/>
      <c r="M1167" s="258"/>
      <c r="N1167" s="165"/>
      <c r="O1167" s="671"/>
    </row>
    <row r="1168" spans="1:15" s="65" customFormat="1" x14ac:dyDescent="0.2">
      <c r="A1168" s="713"/>
      <c r="B1168" s="648"/>
      <c r="C1168" s="723"/>
      <c r="D1168" s="197">
        <v>2022</v>
      </c>
      <c r="E1168" s="144">
        <f t="shared" si="463"/>
        <v>0</v>
      </c>
      <c r="F1168" s="144">
        <v>0</v>
      </c>
      <c r="G1168" s="144">
        <v>0</v>
      </c>
      <c r="H1168" s="144">
        <v>0</v>
      </c>
      <c r="I1168" s="144">
        <v>0</v>
      </c>
      <c r="J1168" s="144">
        <v>0</v>
      </c>
      <c r="K1168" s="261">
        <f t="shared" si="464"/>
        <v>0</v>
      </c>
      <c r="L1168" s="257"/>
      <c r="M1168" s="258"/>
      <c r="N1168" s="165"/>
      <c r="O1168" s="671"/>
    </row>
    <row r="1169" spans="1:15" s="65" customFormat="1" x14ac:dyDescent="0.2">
      <c r="A1169" s="713"/>
      <c r="B1169" s="648"/>
      <c r="C1169" s="723"/>
      <c r="D1169" s="197">
        <v>2023</v>
      </c>
      <c r="E1169" s="144">
        <f t="shared" si="463"/>
        <v>0</v>
      </c>
      <c r="F1169" s="144">
        <v>0</v>
      </c>
      <c r="G1169" s="144">
        <v>0</v>
      </c>
      <c r="H1169" s="144">
        <v>0</v>
      </c>
      <c r="I1169" s="144">
        <v>0</v>
      </c>
      <c r="J1169" s="144">
        <v>0</v>
      </c>
      <c r="K1169" s="261">
        <f t="shared" si="464"/>
        <v>0</v>
      </c>
      <c r="L1169" s="257"/>
      <c r="M1169" s="258"/>
      <c r="N1169" s="165"/>
      <c r="O1169" s="671"/>
    </row>
    <row r="1170" spans="1:15" s="65" customFormat="1" x14ac:dyDescent="0.2">
      <c r="A1170" s="713"/>
      <c r="B1170" s="648"/>
      <c r="C1170" s="723"/>
      <c r="D1170" s="197">
        <v>2024</v>
      </c>
      <c r="E1170" s="144">
        <f t="shared" si="463"/>
        <v>0</v>
      </c>
      <c r="F1170" s="144">
        <v>0</v>
      </c>
      <c r="G1170" s="144">
        <v>0</v>
      </c>
      <c r="H1170" s="144">
        <v>0</v>
      </c>
      <c r="I1170" s="144">
        <v>0</v>
      </c>
      <c r="J1170" s="144">
        <v>0</v>
      </c>
      <c r="K1170" s="261">
        <f t="shared" si="464"/>
        <v>0</v>
      </c>
      <c r="L1170" s="257"/>
      <c r="M1170" s="258"/>
      <c r="N1170" s="165"/>
      <c r="O1170" s="671"/>
    </row>
    <row r="1171" spans="1:15" s="65" customFormat="1" x14ac:dyDescent="0.2">
      <c r="A1171" s="713"/>
      <c r="B1171" s="648"/>
      <c r="C1171" s="724"/>
      <c r="D1171" s="197">
        <v>2025</v>
      </c>
      <c r="E1171" s="144">
        <f t="shared" si="463"/>
        <v>0</v>
      </c>
      <c r="F1171" s="144">
        <v>0</v>
      </c>
      <c r="G1171" s="144">
        <v>0</v>
      </c>
      <c r="H1171" s="144">
        <v>0</v>
      </c>
      <c r="I1171" s="144">
        <v>0</v>
      </c>
      <c r="J1171" s="144">
        <v>0</v>
      </c>
      <c r="K1171" s="261">
        <f t="shared" si="464"/>
        <v>0</v>
      </c>
      <c r="L1171" s="257"/>
      <c r="M1171" s="258"/>
      <c r="N1171" s="165"/>
      <c r="O1171" s="671"/>
    </row>
    <row r="1172" spans="1:15" s="65" customFormat="1" x14ac:dyDescent="0.2">
      <c r="A1172" s="713"/>
      <c r="B1172" s="648"/>
      <c r="C1172" s="678" t="s">
        <v>765</v>
      </c>
      <c r="D1172" s="197">
        <v>2026</v>
      </c>
      <c r="E1172" s="144">
        <f t="shared" si="463"/>
        <v>0</v>
      </c>
      <c r="F1172" s="144">
        <v>0</v>
      </c>
      <c r="G1172" s="144">
        <v>0</v>
      </c>
      <c r="H1172" s="144">
        <v>0</v>
      </c>
      <c r="I1172" s="144">
        <v>0</v>
      </c>
      <c r="J1172" s="144">
        <v>0</v>
      </c>
      <c r="K1172" s="261">
        <f t="shared" si="464"/>
        <v>0</v>
      </c>
      <c r="L1172" s="257"/>
      <c r="M1172" s="258"/>
      <c r="N1172" s="165"/>
      <c r="O1172" s="671"/>
    </row>
    <row r="1173" spans="1:15" s="65" customFormat="1" x14ac:dyDescent="0.2">
      <c r="A1173" s="713"/>
      <c r="B1173" s="648"/>
      <c r="C1173" s="678"/>
      <c r="D1173" s="197">
        <v>2027</v>
      </c>
      <c r="E1173" s="144">
        <f t="shared" si="463"/>
        <v>0</v>
      </c>
      <c r="F1173" s="144">
        <v>0</v>
      </c>
      <c r="G1173" s="144">
        <v>0</v>
      </c>
      <c r="H1173" s="144">
        <v>0</v>
      </c>
      <c r="I1173" s="144">
        <v>0</v>
      </c>
      <c r="J1173" s="144">
        <v>0</v>
      </c>
      <c r="K1173" s="261">
        <f t="shared" si="464"/>
        <v>0</v>
      </c>
      <c r="L1173" s="257"/>
      <c r="M1173" s="258"/>
      <c r="N1173" s="165"/>
      <c r="O1173" s="671"/>
    </row>
    <row r="1174" spans="1:15" s="65" customFormat="1" x14ac:dyDescent="0.2">
      <c r="A1174" s="713"/>
      <c r="B1174" s="648"/>
      <c r="C1174" s="678"/>
      <c r="D1174" s="197">
        <v>2028</v>
      </c>
      <c r="E1174" s="144">
        <f t="shared" si="463"/>
        <v>0</v>
      </c>
      <c r="F1174" s="144">
        <v>0</v>
      </c>
      <c r="G1174" s="144">
        <v>0</v>
      </c>
      <c r="H1174" s="144">
        <v>0</v>
      </c>
      <c r="I1174" s="144">
        <v>0</v>
      </c>
      <c r="J1174" s="144">
        <v>0</v>
      </c>
      <c r="K1174" s="261">
        <f t="shared" si="464"/>
        <v>0</v>
      </c>
      <c r="L1174" s="257"/>
      <c r="M1174" s="258"/>
      <c r="N1174" s="165"/>
      <c r="O1174" s="671"/>
    </row>
    <row r="1175" spans="1:15" s="65" customFormat="1" x14ac:dyDescent="0.2">
      <c r="A1175" s="713"/>
      <c r="B1175" s="648"/>
      <c r="C1175" s="678"/>
      <c r="D1175" s="197">
        <v>2029</v>
      </c>
      <c r="E1175" s="144">
        <f t="shared" si="463"/>
        <v>0</v>
      </c>
      <c r="F1175" s="144">
        <v>0</v>
      </c>
      <c r="G1175" s="144">
        <v>0</v>
      </c>
      <c r="H1175" s="144">
        <v>0</v>
      </c>
      <c r="I1175" s="144">
        <v>0</v>
      </c>
      <c r="J1175" s="144">
        <v>0</v>
      </c>
      <c r="K1175" s="261">
        <f t="shared" si="464"/>
        <v>0</v>
      </c>
      <c r="L1175" s="257"/>
      <c r="M1175" s="258"/>
      <c r="N1175" s="165"/>
      <c r="O1175" s="671"/>
    </row>
    <row r="1176" spans="1:15" s="65" customFormat="1" x14ac:dyDescent="0.2">
      <c r="A1176" s="674"/>
      <c r="B1176" s="632"/>
      <c r="C1176" s="678"/>
      <c r="D1176" s="197">
        <v>2030</v>
      </c>
      <c r="E1176" s="144">
        <f t="shared" si="463"/>
        <v>0</v>
      </c>
      <c r="F1176" s="144">
        <v>0</v>
      </c>
      <c r="G1176" s="144">
        <v>0</v>
      </c>
      <c r="H1176" s="144">
        <v>0</v>
      </c>
      <c r="I1176" s="144">
        <v>0</v>
      </c>
      <c r="J1176" s="144">
        <v>0</v>
      </c>
      <c r="K1176" s="261">
        <f t="shared" si="464"/>
        <v>0</v>
      </c>
      <c r="L1176" s="257"/>
      <c r="M1176" s="258"/>
      <c r="N1176" s="165"/>
      <c r="O1176" s="672"/>
    </row>
    <row r="1177" spans="1:15" s="65" customFormat="1" ht="63.75" x14ac:dyDescent="0.2">
      <c r="A1177" s="260" t="s">
        <v>1097</v>
      </c>
      <c r="B1177" s="183" t="s">
        <v>842</v>
      </c>
      <c r="C1177" s="259" t="s">
        <v>738</v>
      </c>
      <c r="D1177" s="197">
        <v>2019</v>
      </c>
      <c r="E1177" s="144">
        <v>0.11700000000000001</v>
      </c>
      <c r="F1177" s="144">
        <v>0.11700000000000001</v>
      </c>
      <c r="G1177" s="144">
        <v>0</v>
      </c>
      <c r="H1177" s="144">
        <v>0</v>
      </c>
      <c r="I1177" s="144">
        <v>0</v>
      </c>
      <c r="J1177" s="144">
        <v>0</v>
      </c>
      <c r="K1177" s="261">
        <f t="shared" si="464"/>
        <v>0.11700000000000001</v>
      </c>
      <c r="L1177" s="257"/>
      <c r="M1177" s="258"/>
      <c r="N1177" s="165"/>
      <c r="O1177" s="629" t="s">
        <v>809</v>
      </c>
    </row>
    <row r="1178" spans="1:15" s="65" customFormat="1" ht="18" customHeight="1" x14ac:dyDescent="0.2">
      <c r="A1178" s="630" t="s">
        <v>1096</v>
      </c>
      <c r="B1178" s="631" t="s">
        <v>808</v>
      </c>
      <c r="C1178" s="285"/>
      <c r="D1178" s="236" t="s">
        <v>198</v>
      </c>
      <c r="E1178" s="159">
        <f>E1179</f>
        <v>0</v>
      </c>
      <c r="F1178" s="159">
        <f t="shared" ref="F1178:J1178" si="465">F1179</f>
        <v>0</v>
      </c>
      <c r="G1178" s="159">
        <f t="shared" si="465"/>
        <v>0</v>
      </c>
      <c r="H1178" s="159">
        <f t="shared" si="465"/>
        <v>0</v>
      </c>
      <c r="I1178" s="159">
        <f t="shared" si="465"/>
        <v>0</v>
      </c>
      <c r="J1178" s="159">
        <f t="shared" si="465"/>
        <v>0</v>
      </c>
      <c r="K1178" s="261">
        <f t="shared" si="464"/>
        <v>0</v>
      </c>
      <c r="L1178" s="257"/>
      <c r="M1178" s="258"/>
      <c r="N1178" s="165"/>
      <c r="O1178" s="629"/>
    </row>
    <row r="1179" spans="1:15" s="65" customFormat="1" ht="27.75" customHeight="1" x14ac:dyDescent="0.2">
      <c r="A1179" s="630"/>
      <c r="B1179" s="632"/>
      <c r="C1179" s="259" t="s">
        <v>738</v>
      </c>
      <c r="D1179" s="197">
        <v>2019</v>
      </c>
      <c r="E1179" s="144">
        <f>F1179+G1179+H1179+I1179+J1179</f>
        <v>0</v>
      </c>
      <c r="F1179" s="144">
        <v>0</v>
      </c>
      <c r="G1179" s="144">
        <v>0</v>
      </c>
      <c r="H1179" s="144">
        <v>0</v>
      </c>
      <c r="I1179" s="144">
        <v>0</v>
      </c>
      <c r="J1179" s="144">
        <v>0</v>
      </c>
      <c r="K1179" s="261">
        <f t="shared" si="464"/>
        <v>0</v>
      </c>
      <c r="L1179" s="257"/>
      <c r="M1179" s="258"/>
      <c r="N1179" s="165"/>
      <c r="O1179" s="629"/>
    </row>
    <row r="1180" spans="1:15" s="65" customFormat="1" ht="23.25" customHeight="1" x14ac:dyDescent="0.2">
      <c r="A1180" s="667" t="s">
        <v>953</v>
      </c>
      <c r="B1180" s="649" t="s">
        <v>952</v>
      </c>
      <c r="C1180" s="638" t="s">
        <v>949</v>
      </c>
      <c r="D1180" s="236" t="s">
        <v>198</v>
      </c>
      <c r="E1180" s="159">
        <f>E1181+E1182+E1183+E1184+E1185+E1186+E1187+E1188+E1189+E1190+E1191</f>
        <v>42.221675363553281</v>
      </c>
      <c r="F1180" s="159">
        <f>F1181+F1182+F1183+F1184+F1185+F1186+F1187+F1188+F1189+F1190+F1191</f>
        <v>42.221675363553281</v>
      </c>
      <c r="G1180" s="159">
        <f t="shared" ref="G1180:J1180" si="466">G1181+G1182+G1183+G1184+G1185+G1186+G1187+G1188+G1189+G1190+G1191</f>
        <v>0</v>
      </c>
      <c r="H1180" s="159">
        <f t="shared" si="466"/>
        <v>0</v>
      </c>
      <c r="I1180" s="159">
        <f t="shared" si="466"/>
        <v>0</v>
      </c>
      <c r="J1180" s="159">
        <f t="shared" si="466"/>
        <v>0</v>
      </c>
      <c r="K1180" s="261">
        <f t="shared" si="464"/>
        <v>42.221675363553281</v>
      </c>
      <c r="L1180" s="257"/>
      <c r="M1180" s="258"/>
      <c r="N1180" s="165"/>
      <c r="O1180" s="670" t="s">
        <v>809</v>
      </c>
    </row>
    <row r="1181" spans="1:15" s="65" customFormat="1" x14ac:dyDescent="0.2">
      <c r="A1181" s="668"/>
      <c r="B1181" s="650"/>
      <c r="C1181" s="639"/>
      <c r="D1181" s="197">
        <v>2020</v>
      </c>
      <c r="E1181" s="311">
        <f>E1193+E1195+E1207</f>
        <v>7.4136959999999998</v>
      </c>
      <c r="F1181" s="144">
        <f>F1193+F1195+F1207</f>
        <v>7.4136959999999998</v>
      </c>
      <c r="G1181" s="311">
        <f t="shared" ref="G1181:I1181" si="467">G1193+G1195+G1207</f>
        <v>0</v>
      </c>
      <c r="H1181" s="311">
        <f t="shared" si="467"/>
        <v>0</v>
      </c>
      <c r="I1181" s="311">
        <f t="shared" si="467"/>
        <v>0</v>
      </c>
      <c r="J1181" s="311">
        <f>J1193+J1195+J1207</f>
        <v>0</v>
      </c>
      <c r="K1181" s="261">
        <f t="shared" si="464"/>
        <v>7.4136959999999998</v>
      </c>
      <c r="L1181" s="257"/>
      <c r="M1181" s="258"/>
      <c r="N1181" s="165"/>
      <c r="O1181" s="671"/>
    </row>
    <row r="1182" spans="1:15" s="65" customFormat="1" x14ac:dyDescent="0.2">
      <c r="A1182" s="668"/>
      <c r="B1182" s="650"/>
      <c r="C1182" s="639"/>
      <c r="D1182" s="197">
        <v>2021</v>
      </c>
      <c r="E1182" s="144">
        <f>F1182+G1182+H1182+I1182+J1182</f>
        <v>2.8969</v>
      </c>
      <c r="F1182" s="144">
        <f>F1196</f>
        <v>2.8969</v>
      </c>
      <c r="G1182" s="144">
        <f t="shared" ref="G1182:J1191" si="468">G1194+G1196</f>
        <v>0</v>
      </c>
      <c r="H1182" s="144">
        <f t="shared" si="468"/>
        <v>0</v>
      </c>
      <c r="I1182" s="144">
        <f t="shared" si="468"/>
        <v>0</v>
      </c>
      <c r="J1182" s="144">
        <f t="shared" si="468"/>
        <v>0</v>
      </c>
      <c r="K1182" s="261">
        <f t="shared" si="464"/>
        <v>2.8969</v>
      </c>
      <c r="L1182" s="257"/>
      <c r="M1182" s="258"/>
      <c r="N1182" s="165"/>
      <c r="O1182" s="671"/>
    </row>
    <row r="1183" spans="1:15" s="65" customFormat="1" x14ac:dyDescent="0.2">
      <c r="A1183" s="668"/>
      <c r="B1183" s="650"/>
      <c r="C1183" s="639"/>
      <c r="D1183" s="197">
        <v>2022</v>
      </c>
      <c r="E1183" s="144">
        <f t="shared" ref="E1183:E1191" si="469">F1183+G1183+H1183+I1183+J1183</f>
        <v>3.0127000000000002</v>
      </c>
      <c r="F1183" s="144">
        <f>F1197</f>
        <v>3.0127000000000002</v>
      </c>
      <c r="G1183" s="144">
        <f t="shared" si="468"/>
        <v>0</v>
      </c>
      <c r="H1183" s="144">
        <f t="shared" si="468"/>
        <v>0</v>
      </c>
      <c r="I1183" s="144">
        <f t="shared" si="468"/>
        <v>0</v>
      </c>
      <c r="J1183" s="144">
        <f t="shared" si="468"/>
        <v>0</v>
      </c>
      <c r="K1183" s="261">
        <f t="shared" si="464"/>
        <v>3.0127000000000002</v>
      </c>
      <c r="L1183" s="257"/>
      <c r="M1183" s="258"/>
      <c r="N1183" s="165"/>
      <c r="O1183" s="671"/>
    </row>
    <row r="1184" spans="1:15" s="65" customFormat="1" x14ac:dyDescent="0.2">
      <c r="A1184" s="668"/>
      <c r="B1184" s="650"/>
      <c r="C1184" s="639"/>
      <c r="D1184" s="197">
        <v>2023</v>
      </c>
      <c r="E1184" s="144">
        <f t="shared" si="469"/>
        <v>3.1362999999999999</v>
      </c>
      <c r="F1184" s="144">
        <f>F1198</f>
        <v>3.1362999999999999</v>
      </c>
      <c r="G1184" s="144">
        <f t="shared" si="468"/>
        <v>0</v>
      </c>
      <c r="H1184" s="144">
        <f t="shared" si="468"/>
        <v>0</v>
      </c>
      <c r="I1184" s="144">
        <f t="shared" si="468"/>
        <v>0</v>
      </c>
      <c r="J1184" s="144">
        <f t="shared" si="468"/>
        <v>0</v>
      </c>
      <c r="K1184" s="261">
        <f t="shared" si="464"/>
        <v>3.1362999999999999</v>
      </c>
      <c r="L1184" s="257"/>
      <c r="M1184" s="258"/>
      <c r="N1184" s="165"/>
      <c r="O1184" s="671"/>
    </row>
    <row r="1185" spans="1:15" s="65" customFormat="1" x14ac:dyDescent="0.2">
      <c r="A1185" s="668"/>
      <c r="B1185" s="650"/>
      <c r="C1185" s="639"/>
      <c r="D1185" s="197">
        <v>2024</v>
      </c>
      <c r="E1185" s="144">
        <f t="shared" si="469"/>
        <v>3.2616999999999998</v>
      </c>
      <c r="F1185" s="144">
        <f t="shared" ref="F1185:F1191" si="470">F1199</f>
        <v>3.2616999999999998</v>
      </c>
      <c r="G1185" s="144">
        <f t="shared" si="468"/>
        <v>0</v>
      </c>
      <c r="H1185" s="144">
        <f t="shared" si="468"/>
        <v>0</v>
      </c>
      <c r="I1185" s="144">
        <f t="shared" si="468"/>
        <v>0</v>
      </c>
      <c r="J1185" s="144">
        <f t="shared" si="468"/>
        <v>0</v>
      </c>
      <c r="K1185" s="261">
        <f t="shared" si="464"/>
        <v>3.2616999999999998</v>
      </c>
      <c r="L1185" s="257"/>
      <c r="M1185" s="258"/>
      <c r="N1185" s="165"/>
      <c r="O1185" s="671"/>
    </row>
    <row r="1186" spans="1:15" s="65" customFormat="1" x14ac:dyDescent="0.2">
      <c r="A1186" s="668"/>
      <c r="B1186" s="650"/>
      <c r="C1186" s="639"/>
      <c r="D1186" s="197">
        <v>2025</v>
      </c>
      <c r="E1186" s="144">
        <f t="shared" si="469"/>
        <v>3.3921999999999999</v>
      </c>
      <c r="F1186" s="144">
        <f>F1200</f>
        <v>3.3921999999999999</v>
      </c>
      <c r="G1186" s="144">
        <f t="shared" si="468"/>
        <v>0</v>
      </c>
      <c r="H1186" s="144">
        <f t="shared" si="468"/>
        <v>0</v>
      </c>
      <c r="I1186" s="144">
        <f t="shared" si="468"/>
        <v>0</v>
      </c>
      <c r="J1186" s="144">
        <f t="shared" si="468"/>
        <v>0</v>
      </c>
      <c r="K1186" s="261">
        <f t="shared" si="464"/>
        <v>3.3921999999999999</v>
      </c>
      <c r="L1186" s="257"/>
      <c r="M1186" s="258"/>
      <c r="N1186" s="165"/>
      <c r="O1186" s="671"/>
    </row>
    <row r="1187" spans="1:15" s="65" customFormat="1" x14ac:dyDescent="0.2">
      <c r="A1187" s="668"/>
      <c r="B1187" s="650"/>
      <c r="C1187" s="639"/>
      <c r="D1187" s="197">
        <v>2026</v>
      </c>
      <c r="E1187" s="144">
        <f t="shared" si="469"/>
        <v>3.5278879999999999</v>
      </c>
      <c r="F1187" s="144">
        <f t="shared" si="470"/>
        <v>3.5278879999999999</v>
      </c>
      <c r="G1187" s="144">
        <f t="shared" si="468"/>
        <v>0</v>
      </c>
      <c r="H1187" s="144">
        <f t="shared" si="468"/>
        <v>0</v>
      </c>
      <c r="I1187" s="144">
        <f t="shared" si="468"/>
        <v>0</v>
      </c>
      <c r="J1187" s="144">
        <f t="shared" si="468"/>
        <v>0</v>
      </c>
      <c r="K1187" s="261">
        <f t="shared" si="464"/>
        <v>3.5278879999999999</v>
      </c>
      <c r="L1187" s="257"/>
      <c r="M1187" s="258"/>
      <c r="N1187" s="165"/>
      <c r="O1187" s="671"/>
    </row>
    <row r="1188" spans="1:15" s="65" customFormat="1" x14ac:dyDescent="0.2">
      <c r="A1188" s="668"/>
      <c r="B1188" s="650"/>
      <c r="C1188" s="639"/>
      <c r="D1188" s="197">
        <v>2027</v>
      </c>
      <c r="E1188" s="144">
        <f t="shared" si="469"/>
        <v>3.66900352</v>
      </c>
      <c r="F1188" s="144">
        <f t="shared" si="470"/>
        <v>3.66900352</v>
      </c>
      <c r="G1188" s="144">
        <f t="shared" si="468"/>
        <v>0</v>
      </c>
      <c r="H1188" s="144">
        <f t="shared" si="468"/>
        <v>0</v>
      </c>
      <c r="I1188" s="144">
        <f t="shared" si="468"/>
        <v>0</v>
      </c>
      <c r="J1188" s="144">
        <f t="shared" si="468"/>
        <v>0</v>
      </c>
      <c r="K1188" s="261">
        <f t="shared" si="464"/>
        <v>3.66900352</v>
      </c>
      <c r="L1188" s="257"/>
      <c r="M1188" s="258"/>
      <c r="N1188" s="165"/>
      <c r="O1188" s="671"/>
    </row>
    <row r="1189" spans="1:15" s="65" customFormat="1" x14ac:dyDescent="0.2">
      <c r="A1189" s="668"/>
      <c r="B1189" s="650"/>
      <c r="C1189" s="639"/>
      <c r="D1189" s="197">
        <v>2028</v>
      </c>
      <c r="E1189" s="144">
        <f t="shared" si="469"/>
        <v>3.8157636608000001</v>
      </c>
      <c r="F1189" s="144">
        <f t="shared" si="470"/>
        <v>3.8157636608000001</v>
      </c>
      <c r="G1189" s="144">
        <f t="shared" si="468"/>
        <v>0</v>
      </c>
      <c r="H1189" s="144">
        <f t="shared" si="468"/>
        <v>0</v>
      </c>
      <c r="I1189" s="144">
        <f t="shared" si="468"/>
        <v>0</v>
      </c>
      <c r="J1189" s="144">
        <f t="shared" si="468"/>
        <v>0</v>
      </c>
      <c r="K1189" s="261">
        <f t="shared" si="464"/>
        <v>3.8157636608000001</v>
      </c>
      <c r="L1189" s="257"/>
      <c r="M1189" s="258"/>
      <c r="N1189" s="165"/>
      <c r="O1189" s="671"/>
    </row>
    <row r="1190" spans="1:15" s="65" customFormat="1" x14ac:dyDescent="0.2">
      <c r="A1190" s="668"/>
      <c r="B1190" s="650"/>
      <c r="C1190" s="639"/>
      <c r="D1190" s="197">
        <v>2029</v>
      </c>
      <c r="E1190" s="144">
        <f t="shared" si="469"/>
        <v>3.9683942072320004</v>
      </c>
      <c r="F1190" s="144">
        <f t="shared" si="470"/>
        <v>3.9683942072320004</v>
      </c>
      <c r="G1190" s="144">
        <f t="shared" si="468"/>
        <v>0</v>
      </c>
      <c r="H1190" s="144">
        <f t="shared" si="468"/>
        <v>0</v>
      </c>
      <c r="I1190" s="144">
        <f t="shared" si="468"/>
        <v>0</v>
      </c>
      <c r="J1190" s="144">
        <f t="shared" si="468"/>
        <v>0</v>
      </c>
      <c r="K1190" s="261">
        <f t="shared" si="464"/>
        <v>3.9683942072320004</v>
      </c>
      <c r="L1190" s="257"/>
      <c r="M1190" s="258"/>
      <c r="N1190" s="165"/>
      <c r="O1190" s="671"/>
    </row>
    <row r="1191" spans="1:15" s="65" customFormat="1" x14ac:dyDescent="0.2">
      <c r="A1191" s="669"/>
      <c r="B1191" s="651"/>
      <c r="C1191" s="639"/>
      <c r="D1191" s="197">
        <v>2030</v>
      </c>
      <c r="E1191" s="144">
        <f t="shared" si="469"/>
        <v>4.1271299755212807</v>
      </c>
      <c r="F1191" s="144">
        <f t="shared" si="470"/>
        <v>4.1271299755212807</v>
      </c>
      <c r="G1191" s="144">
        <f t="shared" si="468"/>
        <v>0</v>
      </c>
      <c r="H1191" s="144">
        <f t="shared" si="468"/>
        <v>0</v>
      </c>
      <c r="I1191" s="144">
        <f t="shared" si="468"/>
        <v>0</v>
      </c>
      <c r="J1191" s="144">
        <f t="shared" si="468"/>
        <v>0</v>
      </c>
      <c r="K1191" s="261">
        <f t="shared" si="464"/>
        <v>4.1271299755212807</v>
      </c>
      <c r="L1191" s="257"/>
      <c r="M1191" s="258"/>
      <c r="N1191" s="165"/>
      <c r="O1191" s="671"/>
    </row>
    <row r="1192" spans="1:15" s="65" customFormat="1" x14ac:dyDescent="0.2">
      <c r="A1192" s="673" t="s">
        <v>954</v>
      </c>
      <c r="B1192" s="631" t="s">
        <v>948</v>
      </c>
      <c r="C1192" s="639"/>
      <c r="D1192" s="236" t="s">
        <v>198</v>
      </c>
      <c r="E1192" s="159">
        <f>E1193</f>
        <v>4.62</v>
      </c>
      <c r="F1192" s="159">
        <f>F1193</f>
        <v>4.62</v>
      </c>
      <c r="G1192" s="159">
        <f t="shared" ref="G1192:J1192" si="471">G1193</f>
        <v>0</v>
      </c>
      <c r="H1192" s="159">
        <f t="shared" si="471"/>
        <v>0</v>
      </c>
      <c r="I1192" s="159">
        <f t="shared" si="471"/>
        <v>0</v>
      </c>
      <c r="J1192" s="159">
        <f t="shared" si="471"/>
        <v>0</v>
      </c>
      <c r="K1192" s="261">
        <f t="shared" si="464"/>
        <v>4.62</v>
      </c>
      <c r="L1192" s="257"/>
      <c r="M1192" s="258"/>
      <c r="N1192" s="165"/>
      <c r="O1192" s="671"/>
    </row>
    <row r="1193" spans="1:15" s="65" customFormat="1" ht="20.25" customHeight="1" x14ac:dyDescent="0.2">
      <c r="A1193" s="674"/>
      <c r="B1193" s="632"/>
      <c r="C1193" s="639"/>
      <c r="D1193" s="189">
        <v>2020</v>
      </c>
      <c r="E1193" s="188">
        <f t="shared" ref="E1193" si="472">F1193+G1193+H1193+I1193+J1193</f>
        <v>4.62</v>
      </c>
      <c r="F1193" s="188">
        <v>4.62</v>
      </c>
      <c r="G1193" s="188">
        <v>0</v>
      </c>
      <c r="H1193" s="188">
        <v>0</v>
      </c>
      <c r="I1193" s="188">
        <v>0</v>
      </c>
      <c r="J1193" s="188">
        <v>0</v>
      </c>
      <c r="K1193" s="261">
        <f t="shared" si="464"/>
        <v>4.62</v>
      </c>
      <c r="L1193" s="61"/>
      <c r="M1193" s="54"/>
      <c r="N1193" s="64"/>
      <c r="O1193" s="671"/>
    </row>
    <row r="1194" spans="1:15" s="65" customFormat="1" x14ac:dyDescent="0.2">
      <c r="A1194" s="675" t="s">
        <v>955</v>
      </c>
      <c r="B1194" s="631" t="s">
        <v>950</v>
      </c>
      <c r="C1194" s="639"/>
      <c r="D1194" s="236" t="s">
        <v>513</v>
      </c>
      <c r="E1194" s="47">
        <f>E1195+E1196+E1197+E1198+E1199+E1200+E1201+E1202+E1203+E1204+E1205</f>
        <v>37.593379363553282</v>
      </c>
      <c r="F1194" s="47">
        <f>F1195+F1196+F1197+F1198+F1199+F1200+F1201+F1202+F1203+F1204+F1205</f>
        <v>37.593379363553282</v>
      </c>
      <c r="G1194" s="47">
        <f t="shared" ref="G1194:J1194" si="473">G1195+G1196+G1197+G1198+G1199+G1200+G1201+G1202+G1203+G1204+G1205</f>
        <v>0</v>
      </c>
      <c r="H1194" s="47">
        <f t="shared" si="473"/>
        <v>0</v>
      </c>
      <c r="I1194" s="47">
        <f t="shared" si="473"/>
        <v>0</v>
      </c>
      <c r="J1194" s="47">
        <f t="shared" si="473"/>
        <v>0</v>
      </c>
      <c r="K1194" s="261">
        <f t="shared" si="464"/>
        <v>37.593379363553282</v>
      </c>
      <c r="L1194" s="61"/>
      <c r="M1194" s="54"/>
      <c r="N1194" s="64"/>
      <c r="O1194" s="671"/>
    </row>
    <row r="1195" spans="1:15" s="288" customFormat="1" x14ac:dyDescent="0.2">
      <c r="A1195" s="676"/>
      <c r="B1195" s="648"/>
      <c r="C1195" s="639"/>
      <c r="D1195" s="189">
        <v>2020</v>
      </c>
      <c r="E1195" s="188">
        <v>2.7854000000000001</v>
      </c>
      <c r="F1195" s="317">
        <v>2.7854000000000001</v>
      </c>
      <c r="G1195" s="188">
        <v>0</v>
      </c>
      <c r="H1195" s="188">
        <v>0</v>
      </c>
      <c r="I1195" s="188">
        <v>0</v>
      </c>
      <c r="J1195" s="188">
        <v>0</v>
      </c>
      <c r="K1195" s="261">
        <f t="shared" si="464"/>
        <v>2.7854000000000001</v>
      </c>
      <c r="L1195" s="286"/>
      <c r="M1195" s="287"/>
      <c r="N1195" s="287"/>
      <c r="O1195" s="671"/>
    </row>
    <row r="1196" spans="1:15" s="288" customFormat="1" x14ac:dyDescent="0.2">
      <c r="A1196" s="676"/>
      <c r="B1196" s="648"/>
      <c r="C1196" s="639"/>
      <c r="D1196" s="189">
        <v>2021</v>
      </c>
      <c r="E1196" s="188">
        <f>F1196</f>
        <v>2.8969</v>
      </c>
      <c r="F1196" s="188">
        <v>2.8969</v>
      </c>
      <c r="G1196" s="188">
        <v>0</v>
      </c>
      <c r="H1196" s="188">
        <v>0</v>
      </c>
      <c r="I1196" s="188">
        <v>0</v>
      </c>
      <c r="J1196" s="188">
        <v>0</v>
      </c>
      <c r="K1196" s="261">
        <f t="shared" si="464"/>
        <v>2.8969</v>
      </c>
      <c r="L1196" s="286"/>
      <c r="M1196" s="287"/>
      <c r="N1196" s="287"/>
      <c r="O1196" s="671"/>
    </row>
    <row r="1197" spans="1:15" s="288" customFormat="1" x14ac:dyDescent="0.2">
      <c r="A1197" s="676"/>
      <c r="B1197" s="648"/>
      <c r="C1197" s="639"/>
      <c r="D1197" s="189">
        <v>2022</v>
      </c>
      <c r="E1197" s="188">
        <f t="shared" ref="E1197:E1205" si="474">F1197</f>
        <v>3.0127000000000002</v>
      </c>
      <c r="F1197" s="188">
        <v>3.0127000000000002</v>
      </c>
      <c r="G1197" s="188">
        <v>0</v>
      </c>
      <c r="H1197" s="188">
        <v>0</v>
      </c>
      <c r="I1197" s="188">
        <v>0</v>
      </c>
      <c r="J1197" s="188">
        <v>0</v>
      </c>
      <c r="K1197" s="261">
        <f t="shared" si="464"/>
        <v>3.0127000000000002</v>
      </c>
      <c r="L1197" s="286"/>
      <c r="M1197" s="287"/>
      <c r="N1197" s="287"/>
      <c r="O1197" s="671"/>
    </row>
    <row r="1198" spans="1:15" s="288" customFormat="1" x14ac:dyDescent="0.2">
      <c r="A1198" s="676"/>
      <c r="B1198" s="648"/>
      <c r="C1198" s="639"/>
      <c r="D1198" s="189">
        <v>2023</v>
      </c>
      <c r="E1198" s="188">
        <f t="shared" si="474"/>
        <v>3.1362999999999999</v>
      </c>
      <c r="F1198" s="145">
        <v>3.1362999999999999</v>
      </c>
      <c r="G1198" s="188">
        <v>0</v>
      </c>
      <c r="H1198" s="188">
        <v>0</v>
      </c>
      <c r="I1198" s="188">
        <v>0</v>
      </c>
      <c r="J1198" s="188">
        <v>0</v>
      </c>
      <c r="K1198" s="261">
        <f t="shared" si="464"/>
        <v>3.1362999999999999</v>
      </c>
      <c r="L1198" s="286"/>
      <c r="M1198" s="287"/>
      <c r="N1198" s="287"/>
      <c r="O1198" s="671"/>
    </row>
    <row r="1199" spans="1:15" s="288" customFormat="1" x14ac:dyDescent="0.2">
      <c r="A1199" s="676"/>
      <c r="B1199" s="648"/>
      <c r="C1199" s="639"/>
      <c r="D1199" s="189">
        <v>2024</v>
      </c>
      <c r="E1199" s="188">
        <f t="shared" si="474"/>
        <v>3.2616999999999998</v>
      </c>
      <c r="F1199" s="188">
        <v>3.2616999999999998</v>
      </c>
      <c r="G1199" s="188">
        <v>0</v>
      </c>
      <c r="H1199" s="188">
        <v>0</v>
      </c>
      <c r="I1199" s="188">
        <v>0</v>
      </c>
      <c r="J1199" s="188">
        <v>0</v>
      </c>
      <c r="K1199" s="261">
        <f t="shared" si="464"/>
        <v>3.2616999999999998</v>
      </c>
      <c r="L1199" s="286"/>
      <c r="M1199" s="287"/>
      <c r="N1199" s="287"/>
      <c r="O1199" s="671"/>
    </row>
    <row r="1200" spans="1:15" s="288" customFormat="1" x14ac:dyDescent="0.2">
      <c r="A1200" s="676"/>
      <c r="B1200" s="648"/>
      <c r="C1200" s="640"/>
      <c r="D1200" s="189">
        <v>2025</v>
      </c>
      <c r="E1200" s="188">
        <f t="shared" si="474"/>
        <v>3.3921999999999999</v>
      </c>
      <c r="F1200" s="188">
        <v>3.3921999999999999</v>
      </c>
      <c r="G1200" s="188">
        <v>0</v>
      </c>
      <c r="H1200" s="188">
        <v>0</v>
      </c>
      <c r="I1200" s="188">
        <v>0</v>
      </c>
      <c r="J1200" s="188">
        <v>0</v>
      </c>
      <c r="K1200" s="261">
        <f t="shared" si="464"/>
        <v>3.3921999999999999</v>
      </c>
      <c r="L1200" s="286"/>
      <c r="M1200" s="287"/>
      <c r="N1200" s="287"/>
      <c r="O1200" s="671"/>
    </row>
    <row r="1201" spans="1:15" s="288" customFormat="1" x14ac:dyDescent="0.2">
      <c r="A1201" s="676"/>
      <c r="B1201" s="155"/>
      <c r="C1201" s="678" t="s">
        <v>951</v>
      </c>
      <c r="D1201" s="189">
        <v>2026</v>
      </c>
      <c r="E1201" s="188">
        <f t="shared" si="474"/>
        <v>3.5278879999999999</v>
      </c>
      <c r="F1201" s="188">
        <f>F1200*1.04</f>
        <v>3.5278879999999999</v>
      </c>
      <c r="G1201" s="188">
        <v>0</v>
      </c>
      <c r="H1201" s="188">
        <v>0</v>
      </c>
      <c r="I1201" s="188">
        <v>0</v>
      </c>
      <c r="J1201" s="188">
        <v>0</v>
      </c>
      <c r="K1201" s="261">
        <f t="shared" si="464"/>
        <v>3.5278879999999999</v>
      </c>
      <c r="L1201" s="286"/>
      <c r="M1201" s="287"/>
      <c r="N1201" s="287"/>
      <c r="O1201" s="671"/>
    </row>
    <row r="1202" spans="1:15" s="288" customFormat="1" x14ac:dyDescent="0.2">
      <c r="A1202" s="676"/>
      <c r="B1202" s="155"/>
      <c r="C1202" s="678"/>
      <c r="D1202" s="189">
        <v>2027</v>
      </c>
      <c r="E1202" s="188">
        <f t="shared" si="474"/>
        <v>3.66900352</v>
      </c>
      <c r="F1202" s="188">
        <f>F1201*1.04</f>
        <v>3.66900352</v>
      </c>
      <c r="G1202" s="188">
        <v>0</v>
      </c>
      <c r="H1202" s="188">
        <v>0</v>
      </c>
      <c r="I1202" s="188">
        <v>0</v>
      </c>
      <c r="J1202" s="188">
        <v>0</v>
      </c>
      <c r="K1202" s="261">
        <f t="shared" si="464"/>
        <v>3.66900352</v>
      </c>
      <c r="L1202" s="286"/>
      <c r="M1202" s="287"/>
      <c r="N1202" s="287"/>
      <c r="O1202" s="671"/>
    </row>
    <row r="1203" spans="1:15" s="288" customFormat="1" x14ac:dyDescent="0.2">
      <c r="A1203" s="676"/>
      <c r="B1203" s="155"/>
      <c r="C1203" s="678"/>
      <c r="D1203" s="189">
        <v>2028</v>
      </c>
      <c r="E1203" s="188">
        <f t="shared" si="474"/>
        <v>3.8157636608000001</v>
      </c>
      <c r="F1203" s="188">
        <f>F1202*1.04</f>
        <v>3.8157636608000001</v>
      </c>
      <c r="G1203" s="188">
        <v>0</v>
      </c>
      <c r="H1203" s="188">
        <v>0</v>
      </c>
      <c r="I1203" s="188">
        <v>0</v>
      </c>
      <c r="J1203" s="188">
        <v>0</v>
      </c>
      <c r="K1203" s="261">
        <f t="shared" si="464"/>
        <v>3.8157636608000001</v>
      </c>
      <c r="L1203" s="286"/>
      <c r="M1203" s="287"/>
      <c r="N1203" s="287"/>
      <c r="O1203" s="671"/>
    </row>
    <row r="1204" spans="1:15" s="288" customFormat="1" x14ac:dyDescent="0.2">
      <c r="A1204" s="676"/>
      <c r="B1204" s="155"/>
      <c r="C1204" s="678"/>
      <c r="D1204" s="189">
        <v>2029</v>
      </c>
      <c r="E1204" s="188">
        <f t="shared" si="474"/>
        <v>3.9683942072320004</v>
      </c>
      <c r="F1204" s="188">
        <f>F1203*1.04</f>
        <v>3.9683942072320004</v>
      </c>
      <c r="G1204" s="188">
        <v>0</v>
      </c>
      <c r="H1204" s="188">
        <v>0</v>
      </c>
      <c r="I1204" s="188">
        <v>0</v>
      </c>
      <c r="J1204" s="188">
        <v>0</v>
      </c>
      <c r="K1204" s="261">
        <f t="shared" si="464"/>
        <v>3.9683942072320004</v>
      </c>
      <c r="L1204" s="286"/>
      <c r="M1204" s="287"/>
      <c r="N1204" s="287"/>
      <c r="O1204" s="671"/>
    </row>
    <row r="1205" spans="1:15" s="288" customFormat="1" x14ac:dyDescent="0.2">
      <c r="A1205" s="677"/>
      <c r="B1205" s="190"/>
      <c r="C1205" s="678"/>
      <c r="D1205" s="189">
        <v>2030</v>
      </c>
      <c r="E1205" s="188">
        <f t="shared" si="474"/>
        <v>4.1271299755212807</v>
      </c>
      <c r="F1205" s="188">
        <f>F1204*1.04</f>
        <v>4.1271299755212807</v>
      </c>
      <c r="G1205" s="188">
        <v>0</v>
      </c>
      <c r="H1205" s="188">
        <v>0</v>
      </c>
      <c r="I1205" s="188">
        <v>0</v>
      </c>
      <c r="J1205" s="188">
        <v>0</v>
      </c>
      <c r="K1205" s="261">
        <f t="shared" si="464"/>
        <v>4.1271299755212807</v>
      </c>
      <c r="L1205" s="286"/>
      <c r="M1205" s="287"/>
      <c r="N1205" s="287"/>
      <c r="O1205" s="672"/>
    </row>
    <row r="1206" spans="1:15" s="288" customFormat="1" ht="25.5" customHeight="1" x14ac:dyDescent="0.2">
      <c r="A1206" s="680" t="s">
        <v>1061</v>
      </c>
      <c r="B1206" s="679" t="s">
        <v>1062</v>
      </c>
      <c r="C1206" s="681" t="s">
        <v>949</v>
      </c>
      <c r="D1206" s="46" t="s">
        <v>513</v>
      </c>
      <c r="E1206" s="317">
        <f>E1207</f>
        <v>8.2959999999999996E-3</v>
      </c>
      <c r="F1206" s="317">
        <f t="shared" ref="F1206:J1206" si="475">F1207</f>
        <v>8.2959999999999996E-3</v>
      </c>
      <c r="G1206" s="317">
        <f t="shared" si="475"/>
        <v>0</v>
      </c>
      <c r="H1206" s="317">
        <f t="shared" si="475"/>
        <v>0</v>
      </c>
      <c r="I1206" s="317">
        <f t="shared" si="475"/>
        <v>0</v>
      </c>
      <c r="J1206" s="317">
        <f t="shared" si="475"/>
        <v>0</v>
      </c>
      <c r="K1206" s="425"/>
      <c r="L1206" s="286"/>
      <c r="M1206" s="287"/>
      <c r="N1206" s="287"/>
      <c r="O1206" s="318"/>
    </row>
    <row r="1207" spans="1:15" s="288" customFormat="1" x14ac:dyDescent="0.2">
      <c r="A1207" s="680"/>
      <c r="B1207" s="679"/>
      <c r="C1207" s="681"/>
      <c r="D1207" s="318">
        <v>2020</v>
      </c>
      <c r="E1207" s="317">
        <f>F1207</f>
        <v>8.2959999999999996E-3</v>
      </c>
      <c r="F1207" s="317">
        <v>8.2959999999999996E-3</v>
      </c>
      <c r="G1207" s="317">
        <v>0</v>
      </c>
      <c r="H1207" s="317">
        <v>0</v>
      </c>
      <c r="I1207" s="317">
        <v>0</v>
      </c>
      <c r="J1207" s="317">
        <v>0</v>
      </c>
      <c r="K1207" s="425"/>
      <c r="L1207" s="286"/>
      <c r="M1207" s="287"/>
      <c r="N1207" s="287"/>
      <c r="O1207" s="318"/>
    </row>
    <row r="1208" spans="1:15" s="288" customFormat="1" ht="42" customHeight="1" x14ac:dyDescent="0.25">
      <c r="B1208" s="110" t="s">
        <v>881</v>
      </c>
      <c r="C1208" s="110"/>
      <c r="I1208" s="666" t="s">
        <v>882</v>
      </c>
      <c r="J1208" s="666"/>
      <c r="K1208" s="289"/>
      <c r="L1208" s="290"/>
    </row>
    <row r="1209" spans="1:15" s="288" customFormat="1" ht="15.75" x14ac:dyDescent="0.25">
      <c r="B1209" s="110"/>
      <c r="C1209" s="110"/>
      <c r="J1209" s="110"/>
      <c r="K1209" s="289"/>
      <c r="L1209" s="290"/>
    </row>
    <row r="1210" spans="1:15" s="288" customFormat="1" ht="15.75" x14ac:dyDescent="0.25">
      <c r="B1210" s="110"/>
      <c r="C1210" s="110"/>
      <c r="J1210" s="110"/>
      <c r="K1210" s="289"/>
      <c r="L1210" s="290"/>
    </row>
    <row r="1211" spans="1:15" s="288" customFormat="1" ht="24" customHeight="1" x14ac:dyDescent="0.25">
      <c r="B1211" s="110"/>
      <c r="C1211" s="110"/>
      <c r="J1211" s="110"/>
      <c r="K1211" s="289"/>
      <c r="L1211" s="290"/>
    </row>
    <row r="1212" spans="1:15" s="288" customFormat="1" ht="15.75" x14ac:dyDescent="0.25">
      <c r="B1212" s="110"/>
      <c r="C1212" s="110"/>
      <c r="J1212" s="110"/>
      <c r="K1212" s="289"/>
      <c r="L1212" s="290"/>
    </row>
    <row r="1213" spans="1:15" s="288" customFormat="1" ht="15.75" x14ac:dyDescent="0.25">
      <c r="B1213" s="110"/>
      <c r="C1213" s="110"/>
      <c r="J1213" s="110"/>
      <c r="K1213" s="289"/>
      <c r="L1213" s="290"/>
    </row>
    <row r="1214" spans="1:15" s="288" customFormat="1" ht="15.75" x14ac:dyDescent="0.25">
      <c r="B1214" s="110"/>
      <c r="C1214" s="110"/>
      <c r="J1214" s="110"/>
      <c r="K1214" s="289"/>
      <c r="L1214" s="290"/>
    </row>
    <row r="1215" spans="1:15" s="288" customFormat="1" ht="15.75" x14ac:dyDescent="0.25">
      <c r="B1215" s="110"/>
      <c r="C1215" s="110"/>
      <c r="J1215" s="110"/>
      <c r="K1215" s="289"/>
      <c r="L1215" s="290"/>
    </row>
    <row r="1216" spans="1:15" s="288" customFormat="1" ht="31.5" customHeight="1" x14ac:dyDescent="0.25">
      <c r="B1216" s="110"/>
      <c r="C1216" s="110"/>
      <c r="J1216" s="110"/>
      <c r="K1216" s="289"/>
      <c r="L1216" s="290"/>
    </row>
    <row r="1217" spans="1:12" s="288" customFormat="1" ht="49.5" customHeight="1" x14ac:dyDescent="0.25">
      <c r="A1217" s="110"/>
      <c r="B1217" s="110"/>
      <c r="C1217" s="110"/>
      <c r="J1217" s="110"/>
      <c r="K1217" s="289"/>
      <c r="L1217" s="290"/>
    </row>
    <row r="1218" spans="1:12" s="288" customFormat="1" x14ac:dyDescent="0.2">
      <c r="A1218" s="291"/>
      <c r="K1218" s="292"/>
      <c r="L1218" s="290"/>
    </row>
    <row r="1219" spans="1:12" s="288" customFormat="1" x14ac:dyDescent="0.2">
      <c r="A1219" s="291"/>
      <c r="K1219" s="292"/>
      <c r="L1219" s="290"/>
    </row>
    <row r="1220" spans="1:12" s="288" customFormat="1" x14ac:dyDescent="0.2">
      <c r="A1220" s="291"/>
      <c r="K1220" s="292"/>
      <c r="L1220" s="290"/>
    </row>
    <row r="1221" spans="1:12" s="288" customFormat="1" x14ac:dyDescent="0.2">
      <c r="A1221" s="291"/>
      <c r="K1221" s="292"/>
      <c r="L1221" s="290"/>
    </row>
    <row r="1222" spans="1:12" s="288" customFormat="1" x14ac:dyDescent="0.2">
      <c r="A1222" s="291"/>
      <c r="K1222" s="292"/>
      <c r="L1222" s="290"/>
    </row>
    <row r="1223" spans="1:12" s="288" customFormat="1" x14ac:dyDescent="0.2">
      <c r="A1223" s="291"/>
      <c r="K1223" s="292"/>
      <c r="L1223" s="290"/>
    </row>
    <row r="1224" spans="1:12" s="288" customFormat="1" x14ac:dyDescent="0.2">
      <c r="A1224" s="291"/>
      <c r="K1224" s="292"/>
      <c r="L1224" s="290"/>
    </row>
    <row r="1225" spans="1:12" s="288" customFormat="1" x14ac:dyDescent="0.2">
      <c r="A1225" s="291"/>
      <c r="K1225" s="292"/>
      <c r="L1225" s="290"/>
    </row>
    <row r="1226" spans="1:12" s="288" customFormat="1" x14ac:dyDescent="0.2">
      <c r="A1226" s="291"/>
      <c r="K1226" s="292"/>
      <c r="L1226" s="290"/>
    </row>
    <row r="1227" spans="1:12" s="288" customFormat="1" x14ac:dyDescent="0.2">
      <c r="A1227" s="291"/>
      <c r="K1227" s="292"/>
      <c r="L1227" s="290"/>
    </row>
    <row r="1228" spans="1:12" s="288" customFormat="1" x14ac:dyDescent="0.2">
      <c r="A1228" s="291"/>
      <c r="K1228" s="292"/>
      <c r="L1228" s="290"/>
    </row>
    <row r="1229" spans="1:12" s="288" customFormat="1" x14ac:dyDescent="0.2">
      <c r="A1229" s="291"/>
      <c r="K1229" s="292"/>
      <c r="L1229" s="290"/>
    </row>
    <row r="1230" spans="1:12" s="288" customFormat="1" x14ac:dyDescent="0.2">
      <c r="A1230" s="291"/>
      <c r="K1230" s="292"/>
      <c r="L1230" s="290"/>
    </row>
    <row r="1231" spans="1:12" s="288" customFormat="1" x14ac:dyDescent="0.2">
      <c r="A1231" s="291"/>
      <c r="K1231" s="292"/>
      <c r="L1231" s="290"/>
    </row>
    <row r="1232" spans="1:12" s="288" customFormat="1" x14ac:dyDescent="0.2">
      <c r="A1232" s="291"/>
      <c r="K1232" s="292"/>
      <c r="L1232" s="290"/>
    </row>
    <row r="1233" spans="1:12" s="288" customFormat="1" x14ac:dyDescent="0.2">
      <c r="A1233" s="291"/>
      <c r="K1233" s="292"/>
      <c r="L1233" s="290"/>
    </row>
    <row r="1234" spans="1:12" s="288" customFormat="1" x14ac:dyDescent="0.2">
      <c r="A1234" s="291"/>
      <c r="K1234" s="292"/>
      <c r="L1234" s="290"/>
    </row>
    <row r="1235" spans="1:12" s="288" customFormat="1" x14ac:dyDescent="0.2">
      <c r="A1235" s="291"/>
      <c r="K1235" s="292"/>
      <c r="L1235" s="290"/>
    </row>
    <row r="1236" spans="1:12" s="288" customFormat="1" x14ac:dyDescent="0.2">
      <c r="A1236" s="291"/>
      <c r="K1236" s="292"/>
      <c r="L1236" s="290"/>
    </row>
    <row r="1237" spans="1:12" s="288" customFormat="1" x14ac:dyDescent="0.2">
      <c r="A1237" s="291"/>
      <c r="K1237" s="292"/>
      <c r="L1237" s="290"/>
    </row>
    <row r="1238" spans="1:12" s="288" customFormat="1" x14ac:dyDescent="0.2">
      <c r="A1238" s="291"/>
      <c r="K1238" s="292"/>
      <c r="L1238" s="290"/>
    </row>
    <row r="1239" spans="1:12" s="288" customFormat="1" x14ac:dyDescent="0.2">
      <c r="A1239" s="291"/>
      <c r="K1239" s="292"/>
      <c r="L1239" s="290"/>
    </row>
    <row r="1240" spans="1:12" s="288" customFormat="1" x14ac:dyDescent="0.2">
      <c r="A1240" s="291"/>
      <c r="K1240" s="292"/>
      <c r="L1240" s="290"/>
    </row>
    <row r="1241" spans="1:12" s="288" customFormat="1" x14ac:dyDescent="0.2">
      <c r="A1241" s="291"/>
      <c r="K1241" s="292"/>
      <c r="L1241" s="290"/>
    </row>
    <row r="1242" spans="1:12" s="288" customFormat="1" x14ac:dyDescent="0.2">
      <c r="A1242" s="291"/>
      <c r="K1242" s="292"/>
      <c r="L1242" s="290"/>
    </row>
    <row r="1243" spans="1:12" s="288" customFormat="1" x14ac:dyDescent="0.2">
      <c r="A1243" s="291"/>
      <c r="K1243" s="292"/>
      <c r="L1243" s="290"/>
    </row>
    <row r="1244" spans="1:12" s="288" customFormat="1" x14ac:dyDescent="0.2">
      <c r="A1244" s="291"/>
      <c r="K1244" s="292"/>
      <c r="L1244" s="290"/>
    </row>
    <row r="1245" spans="1:12" s="288" customFormat="1" x14ac:dyDescent="0.2">
      <c r="A1245" s="291"/>
      <c r="K1245" s="292"/>
      <c r="L1245" s="290"/>
    </row>
    <row r="1246" spans="1:12" s="288" customFormat="1" x14ac:dyDescent="0.2">
      <c r="A1246" s="291"/>
      <c r="K1246" s="292"/>
      <c r="L1246" s="290"/>
    </row>
    <row r="1247" spans="1:12" s="288" customFormat="1" x14ac:dyDescent="0.2">
      <c r="A1247" s="291"/>
      <c r="K1247" s="292"/>
      <c r="L1247" s="290"/>
    </row>
    <row r="1248" spans="1:12" s="288" customFormat="1" x14ac:dyDescent="0.2">
      <c r="A1248" s="291"/>
      <c r="K1248" s="292"/>
      <c r="L1248" s="290"/>
    </row>
    <row r="1249" spans="1:12" s="288" customFormat="1" x14ac:dyDescent="0.2">
      <c r="A1249" s="291"/>
      <c r="K1249" s="292"/>
      <c r="L1249" s="290"/>
    </row>
    <row r="1250" spans="1:12" s="288" customFormat="1" x14ac:dyDescent="0.2">
      <c r="A1250" s="291"/>
      <c r="K1250" s="292"/>
      <c r="L1250" s="290"/>
    </row>
    <row r="1251" spans="1:12" s="288" customFormat="1" x14ac:dyDescent="0.2">
      <c r="A1251" s="291"/>
      <c r="K1251" s="292"/>
      <c r="L1251" s="290"/>
    </row>
    <row r="1252" spans="1:12" s="288" customFormat="1" x14ac:dyDescent="0.2">
      <c r="A1252" s="291"/>
      <c r="K1252" s="292"/>
      <c r="L1252" s="290"/>
    </row>
    <row r="1253" spans="1:12" s="288" customFormat="1" x14ac:dyDescent="0.2">
      <c r="A1253" s="291"/>
      <c r="K1253" s="292"/>
      <c r="L1253" s="290"/>
    </row>
    <row r="1254" spans="1:12" s="288" customFormat="1" x14ac:dyDescent="0.2">
      <c r="A1254" s="291"/>
      <c r="K1254" s="292"/>
      <c r="L1254" s="290"/>
    </row>
    <row r="1255" spans="1:12" s="288" customFormat="1" x14ac:dyDescent="0.2">
      <c r="A1255" s="291"/>
      <c r="K1255" s="292"/>
      <c r="L1255" s="290"/>
    </row>
    <row r="1256" spans="1:12" s="288" customFormat="1" x14ac:dyDescent="0.2">
      <c r="A1256" s="291"/>
      <c r="K1256" s="292"/>
      <c r="L1256" s="290"/>
    </row>
    <row r="1257" spans="1:12" s="288" customFormat="1" x14ac:dyDescent="0.2">
      <c r="A1257" s="291"/>
      <c r="K1257" s="292"/>
      <c r="L1257" s="290"/>
    </row>
    <row r="1258" spans="1:12" s="288" customFormat="1" x14ac:dyDescent="0.2">
      <c r="A1258" s="291"/>
      <c r="K1258" s="292"/>
      <c r="L1258" s="290"/>
    </row>
    <row r="1259" spans="1:12" s="288" customFormat="1" x14ac:dyDescent="0.2">
      <c r="A1259" s="291"/>
      <c r="K1259" s="292"/>
      <c r="L1259" s="290"/>
    </row>
    <row r="1260" spans="1:12" s="288" customFormat="1" x14ac:dyDescent="0.2">
      <c r="A1260" s="291"/>
      <c r="K1260" s="292"/>
      <c r="L1260" s="290"/>
    </row>
    <row r="1261" spans="1:12" s="288" customFormat="1" x14ac:dyDescent="0.2">
      <c r="A1261" s="291"/>
      <c r="K1261" s="292"/>
      <c r="L1261" s="290"/>
    </row>
    <row r="1262" spans="1:12" s="288" customFormat="1" x14ac:dyDescent="0.2">
      <c r="A1262" s="291"/>
      <c r="K1262" s="292"/>
      <c r="L1262" s="290"/>
    </row>
    <row r="1263" spans="1:12" s="288" customFormat="1" x14ac:dyDescent="0.2">
      <c r="A1263" s="291"/>
      <c r="K1263" s="292"/>
      <c r="L1263" s="290"/>
    </row>
    <row r="1264" spans="1:12" s="288" customFormat="1" x14ac:dyDescent="0.2">
      <c r="A1264" s="291"/>
      <c r="K1264" s="292"/>
      <c r="L1264" s="290"/>
    </row>
    <row r="1265" spans="1:12" s="288" customFormat="1" x14ac:dyDescent="0.2">
      <c r="A1265" s="291"/>
      <c r="K1265" s="292"/>
      <c r="L1265" s="290"/>
    </row>
    <row r="1266" spans="1:12" s="288" customFormat="1" x14ac:dyDescent="0.2">
      <c r="A1266" s="291"/>
      <c r="K1266" s="292"/>
      <c r="L1266" s="290"/>
    </row>
    <row r="1267" spans="1:12" s="288" customFormat="1" x14ac:dyDescent="0.2">
      <c r="A1267" s="291"/>
      <c r="K1267" s="292"/>
      <c r="L1267" s="290"/>
    </row>
    <row r="1268" spans="1:12" s="288" customFormat="1" x14ac:dyDescent="0.2">
      <c r="A1268" s="291"/>
      <c r="K1268" s="292"/>
      <c r="L1268" s="290"/>
    </row>
    <row r="1269" spans="1:12" s="288" customFormat="1" x14ac:dyDescent="0.2">
      <c r="A1269" s="291"/>
      <c r="K1269" s="292"/>
      <c r="L1269" s="290"/>
    </row>
    <row r="1270" spans="1:12" s="288" customFormat="1" x14ac:dyDescent="0.2">
      <c r="A1270" s="291"/>
      <c r="K1270" s="292"/>
      <c r="L1270" s="290"/>
    </row>
    <row r="1271" spans="1:12" s="288" customFormat="1" x14ac:dyDescent="0.2">
      <c r="A1271" s="291"/>
      <c r="K1271" s="292"/>
      <c r="L1271" s="290"/>
    </row>
    <row r="1272" spans="1:12" s="288" customFormat="1" x14ac:dyDescent="0.2">
      <c r="A1272" s="291"/>
      <c r="K1272" s="292"/>
      <c r="L1272" s="290"/>
    </row>
    <row r="1273" spans="1:12" s="288" customFormat="1" x14ac:dyDescent="0.2">
      <c r="A1273" s="291"/>
      <c r="K1273" s="292"/>
      <c r="L1273" s="290"/>
    </row>
    <row r="1274" spans="1:12" s="288" customFormat="1" x14ac:dyDescent="0.2">
      <c r="A1274" s="291"/>
      <c r="K1274" s="292"/>
      <c r="L1274" s="290"/>
    </row>
    <row r="1275" spans="1:12" s="288" customFormat="1" x14ac:dyDescent="0.2">
      <c r="A1275" s="291"/>
      <c r="K1275" s="292"/>
      <c r="L1275" s="290"/>
    </row>
    <row r="1276" spans="1:12" s="288" customFormat="1" x14ac:dyDescent="0.2">
      <c r="A1276" s="291"/>
      <c r="K1276" s="292"/>
      <c r="L1276" s="290"/>
    </row>
    <row r="1277" spans="1:12" s="288" customFormat="1" x14ac:dyDescent="0.2">
      <c r="A1277" s="291"/>
      <c r="K1277" s="292"/>
      <c r="L1277" s="290"/>
    </row>
    <row r="1278" spans="1:12" s="288" customFormat="1" x14ac:dyDescent="0.2">
      <c r="A1278" s="291"/>
      <c r="K1278" s="292"/>
      <c r="L1278" s="290"/>
    </row>
    <row r="1279" spans="1:12" s="288" customFormat="1" x14ac:dyDescent="0.2">
      <c r="A1279" s="291"/>
      <c r="K1279" s="292"/>
      <c r="L1279" s="290"/>
    </row>
    <row r="1280" spans="1:12" s="288" customFormat="1" x14ac:dyDescent="0.2">
      <c r="A1280" s="291"/>
      <c r="K1280" s="292"/>
      <c r="L1280" s="290"/>
    </row>
    <row r="1281" spans="1:12" s="288" customFormat="1" x14ac:dyDescent="0.2">
      <c r="A1281" s="291"/>
      <c r="K1281" s="292"/>
      <c r="L1281" s="290"/>
    </row>
    <row r="1282" spans="1:12" s="288" customFormat="1" x14ac:dyDescent="0.2">
      <c r="A1282" s="291"/>
      <c r="K1282" s="292"/>
      <c r="L1282" s="290"/>
    </row>
    <row r="1283" spans="1:12" s="288" customFormat="1" x14ac:dyDescent="0.2">
      <c r="A1283" s="291"/>
      <c r="K1283" s="292"/>
      <c r="L1283" s="290"/>
    </row>
    <row r="1284" spans="1:12" s="288" customFormat="1" x14ac:dyDescent="0.2">
      <c r="A1284" s="291"/>
      <c r="K1284" s="292"/>
      <c r="L1284" s="290"/>
    </row>
    <row r="1285" spans="1:12" s="288" customFormat="1" x14ac:dyDescent="0.2">
      <c r="A1285" s="291"/>
      <c r="K1285" s="292"/>
      <c r="L1285" s="290"/>
    </row>
    <row r="1286" spans="1:12" s="288" customFormat="1" x14ac:dyDescent="0.2">
      <c r="A1286" s="291"/>
      <c r="K1286" s="292"/>
      <c r="L1286" s="290"/>
    </row>
    <row r="1287" spans="1:12" s="288" customFormat="1" x14ac:dyDescent="0.2">
      <c r="A1287" s="291"/>
      <c r="K1287" s="292"/>
      <c r="L1287" s="290"/>
    </row>
    <row r="1288" spans="1:12" s="288" customFormat="1" x14ac:dyDescent="0.2">
      <c r="A1288" s="291"/>
      <c r="K1288" s="292"/>
      <c r="L1288" s="290"/>
    </row>
    <row r="1289" spans="1:12" s="288" customFormat="1" x14ac:dyDescent="0.2">
      <c r="A1289" s="291"/>
      <c r="K1289" s="292"/>
      <c r="L1289" s="290"/>
    </row>
    <row r="1290" spans="1:12" s="288" customFormat="1" x14ac:dyDescent="0.2">
      <c r="A1290" s="291"/>
      <c r="K1290" s="292"/>
      <c r="L1290" s="290"/>
    </row>
    <row r="1291" spans="1:12" s="288" customFormat="1" x14ac:dyDescent="0.2">
      <c r="A1291" s="291"/>
      <c r="K1291" s="292"/>
      <c r="L1291" s="290"/>
    </row>
    <row r="1292" spans="1:12" s="288" customFormat="1" x14ac:dyDescent="0.2">
      <c r="A1292" s="291"/>
      <c r="K1292" s="292"/>
      <c r="L1292" s="290"/>
    </row>
    <row r="1293" spans="1:12" s="288" customFormat="1" x14ac:dyDescent="0.2">
      <c r="A1293" s="291"/>
      <c r="K1293" s="292"/>
      <c r="L1293" s="290"/>
    </row>
    <row r="1294" spans="1:12" s="288" customFormat="1" x14ac:dyDescent="0.2">
      <c r="A1294" s="291"/>
      <c r="K1294" s="292"/>
      <c r="L1294" s="290"/>
    </row>
    <row r="1295" spans="1:12" s="288" customFormat="1" x14ac:dyDescent="0.2">
      <c r="A1295" s="291"/>
      <c r="K1295" s="292"/>
      <c r="L1295" s="290"/>
    </row>
    <row r="1296" spans="1:12" s="288" customFormat="1" x14ac:dyDescent="0.2">
      <c r="A1296" s="291"/>
      <c r="K1296" s="292"/>
      <c r="L1296" s="290"/>
    </row>
    <row r="1297" spans="1:12" s="288" customFormat="1" x14ac:dyDescent="0.2">
      <c r="A1297" s="291"/>
      <c r="K1297" s="292"/>
      <c r="L1297" s="290"/>
    </row>
    <row r="1298" spans="1:12" s="288" customFormat="1" x14ac:dyDescent="0.2">
      <c r="A1298" s="291"/>
      <c r="K1298" s="292"/>
      <c r="L1298" s="290"/>
    </row>
    <row r="1299" spans="1:12" s="288" customFormat="1" x14ac:dyDescent="0.2">
      <c r="A1299" s="291"/>
      <c r="K1299" s="292"/>
      <c r="L1299" s="290"/>
    </row>
    <row r="1300" spans="1:12" s="288" customFormat="1" x14ac:dyDescent="0.2">
      <c r="A1300" s="291"/>
      <c r="K1300" s="292"/>
      <c r="L1300" s="290"/>
    </row>
    <row r="1301" spans="1:12" s="288" customFormat="1" x14ac:dyDescent="0.2">
      <c r="A1301" s="291"/>
      <c r="K1301" s="292"/>
      <c r="L1301" s="290"/>
    </row>
    <row r="1302" spans="1:12" s="288" customFormat="1" x14ac:dyDescent="0.2">
      <c r="A1302" s="291"/>
      <c r="K1302" s="292"/>
      <c r="L1302" s="290"/>
    </row>
    <row r="1303" spans="1:12" s="288" customFormat="1" x14ac:dyDescent="0.2">
      <c r="A1303" s="291"/>
      <c r="K1303" s="292"/>
      <c r="L1303" s="290"/>
    </row>
    <row r="1304" spans="1:12" s="288" customFormat="1" x14ac:dyDescent="0.2">
      <c r="A1304" s="291"/>
      <c r="K1304" s="292"/>
      <c r="L1304" s="290"/>
    </row>
    <row r="1305" spans="1:12" s="288" customFormat="1" x14ac:dyDescent="0.2">
      <c r="A1305" s="291"/>
      <c r="K1305" s="292"/>
      <c r="L1305" s="290"/>
    </row>
    <row r="1306" spans="1:12" s="288" customFormat="1" x14ac:dyDescent="0.2">
      <c r="A1306" s="291"/>
      <c r="K1306" s="292"/>
      <c r="L1306" s="290"/>
    </row>
    <row r="1307" spans="1:12" s="288" customFormat="1" x14ac:dyDescent="0.2">
      <c r="A1307" s="291"/>
      <c r="K1307" s="292"/>
      <c r="L1307" s="290"/>
    </row>
    <row r="1308" spans="1:12" s="288" customFormat="1" x14ac:dyDescent="0.2">
      <c r="A1308" s="291"/>
      <c r="K1308" s="292"/>
      <c r="L1308" s="290"/>
    </row>
    <row r="1309" spans="1:12" s="288" customFormat="1" x14ac:dyDescent="0.2">
      <c r="A1309" s="291"/>
      <c r="K1309" s="292"/>
      <c r="L1309" s="290"/>
    </row>
    <row r="1310" spans="1:12" s="288" customFormat="1" x14ac:dyDescent="0.2">
      <c r="A1310" s="291"/>
      <c r="K1310" s="292"/>
      <c r="L1310" s="290"/>
    </row>
    <row r="1311" spans="1:12" s="288" customFormat="1" x14ac:dyDescent="0.2">
      <c r="A1311" s="291"/>
      <c r="K1311" s="292"/>
      <c r="L1311" s="290"/>
    </row>
    <row r="1312" spans="1:12" s="288" customFormat="1" x14ac:dyDescent="0.2">
      <c r="A1312" s="291"/>
      <c r="K1312" s="292"/>
      <c r="L1312" s="290"/>
    </row>
    <row r="1313" spans="1:12" s="288" customFormat="1" x14ac:dyDescent="0.2">
      <c r="A1313" s="291"/>
      <c r="K1313" s="292"/>
      <c r="L1313" s="290"/>
    </row>
    <row r="1314" spans="1:12" s="288" customFormat="1" x14ac:dyDescent="0.2">
      <c r="A1314" s="291"/>
      <c r="K1314" s="292"/>
      <c r="L1314" s="290"/>
    </row>
    <row r="1315" spans="1:12" s="288" customFormat="1" x14ac:dyDescent="0.2">
      <c r="A1315" s="291"/>
      <c r="K1315" s="292"/>
      <c r="L1315" s="290"/>
    </row>
    <row r="1316" spans="1:12" s="288" customFormat="1" x14ac:dyDescent="0.2">
      <c r="A1316" s="291"/>
      <c r="K1316" s="292"/>
      <c r="L1316" s="290"/>
    </row>
    <row r="1317" spans="1:12" s="288" customFormat="1" x14ac:dyDescent="0.2">
      <c r="A1317" s="291"/>
      <c r="K1317" s="292"/>
      <c r="L1317" s="290"/>
    </row>
    <row r="1318" spans="1:12" s="288" customFormat="1" x14ac:dyDescent="0.2">
      <c r="A1318" s="291"/>
      <c r="K1318" s="292"/>
      <c r="L1318" s="290"/>
    </row>
    <row r="1319" spans="1:12" s="288" customFormat="1" x14ac:dyDescent="0.2">
      <c r="A1319" s="291"/>
      <c r="K1319" s="292"/>
      <c r="L1319" s="290"/>
    </row>
    <row r="1320" spans="1:12" s="288" customFormat="1" x14ac:dyDescent="0.2">
      <c r="A1320" s="291"/>
      <c r="K1320" s="292"/>
      <c r="L1320" s="290"/>
    </row>
    <row r="1321" spans="1:12" s="288" customFormat="1" x14ac:dyDescent="0.2">
      <c r="A1321" s="291"/>
      <c r="K1321" s="292"/>
      <c r="L1321" s="290"/>
    </row>
    <row r="1322" spans="1:12" s="288" customFormat="1" x14ac:dyDescent="0.2">
      <c r="A1322" s="291"/>
      <c r="K1322" s="292"/>
      <c r="L1322" s="290"/>
    </row>
    <row r="1323" spans="1:12" s="288" customFormat="1" x14ac:dyDescent="0.2">
      <c r="A1323" s="291"/>
      <c r="K1323" s="292"/>
      <c r="L1323" s="290"/>
    </row>
    <row r="1324" spans="1:12" s="288" customFormat="1" x14ac:dyDescent="0.2">
      <c r="A1324" s="291"/>
      <c r="K1324" s="292"/>
      <c r="L1324" s="290"/>
    </row>
    <row r="1325" spans="1:12" s="288" customFormat="1" x14ac:dyDescent="0.2">
      <c r="A1325" s="291"/>
      <c r="K1325" s="292"/>
      <c r="L1325" s="290"/>
    </row>
    <row r="1326" spans="1:12" s="288" customFormat="1" x14ac:dyDescent="0.2">
      <c r="A1326" s="291"/>
      <c r="K1326" s="292"/>
      <c r="L1326" s="290"/>
    </row>
    <row r="1327" spans="1:12" s="288" customFormat="1" x14ac:dyDescent="0.2">
      <c r="A1327" s="291"/>
      <c r="K1327" s="292"/>
      <c r="L1327" s="290"/>
    </row>
    <row r="1328" spans="1:12" s="288" customFormat="1" x14ac:dyDescent="0.2">
      <c r="A1328" s="291"/>
      <c r="K1328" s="292"/>
      <c r="L1328" s="290"/>
    </row>
    <row r="1329" spans="1:12" s="288" customFormat="1" x14ac:dyDescent="0.2">
      <c r="A1329" s="291"/>
      <c r="K1329" s="292"/>
      <c r="L1329" s="290"/>
    </row>
    <row r="1330" spans="1:12" s="288" customFormat="1" x14ac:dyDescent="0.2">
      <c r="A1330" s="291"/>
      <c r="K1330" s="292"/>
      <c r="L1330" s="290"/>
    </row>
    <row r="1331" spans="1:12" s="288" customFormat="1" x14ac:dyDescent="0.2">
      <c r="A1331" s="291"/>
      <c r="K1331" s="292"/>
      <c r="L1331" s="290"/>
    </row>
    <row r="1332" spans="1:12" s="288" customFormat="1" x14ac:dyDescent="0.2">
      <c r="A1332" s="291"/>
      <c r="K1332" s="292"/>
      <c r="L1332" s="290"/>
    </row>
    <row r="1333" spans="1:12" s="288" customFormat="1" x14ac:dyDescent="0.2">
      <c r="A1333" s="291"/>
      <c r="K1333" s="292"/>
      <c r="L1333" s="290"/>
    </row>
    <row r="1334" spans="1:12" s="288" customFormat="1" x14ac:dyDescent="0.2">
      <c r="A1334" s="291"/>
      <c r="K1334" s="292"/>
      <c r="L1334" s="290"/>
    </row>
    <row r="1335" spans="1:12" s="288" customFormat="1" x14ac:dyDescent="0.2">
      <c r="A1335" s="291"/>
      <c r="K1335" s="292"/>
      <c r="L1335" s="290"/>
    </row>
    <row r="1336" spans="1:12" s="288" customFormat="1" x14ac:dyDescent="0.2">
      <c r="A1336" s="291"/>
      <c r="K1336" s="292"/>
      <c r="L1336" s="290"/>
    </row>
    <row r="1337" spans="1:12" s="288" customFormat="1" x14ac:dyDescent="0.2">
      <c r="A1337" s="291"/>
      <c r="K1337" s="292"/>
      <c r="L1337" s="290"/>
    </row>
    <row r="1338" spans="1:12" s="288" customFormat="1" x14ac:dyDescent="0.2">
      <c r="A1338" s="291"/>
      <c r="K1338" s="292"/>
      <c r="L1338" s="290"/>
    </row>
    <row r="1339" spans="1:12" s="288" customFormat="1" x14ac:dyDescent="0.2">
      <c r="A1339" s="291"/>
      <c r="K1339" s="292"/>
      <c r="L1339" s="290"/>
    </row>
    <row r="1340" spans="1:12" s="288" customFormat="1" x14ac:dyDescent="0.2">
      <c r="A1340" s="291"/>
      <c r="K1340" s="292"/>
      <c r="L1340" s="290"/>
    </row>
    <row r="1341" spans="1:12" s="288" customFormat="1" x14ac:dyDescent="0.2">
      <c r="A1341" s="291"/>
      <c r="K1341" s="292"/>
      <c r="L1341" s="290"/>
    </row>
    <row r="1342" spans="1:12" s="288" customFormat="1" x14ac:dyDescent="0.2">
      <c r="A1342" s="291"/>
      <c r="K1342" s="292"/>
      <c r="L1342" s="290"/>
    </row>
    <row r="1343" spans="1:12" s="288" customFormat="1" x14ac:dyDescent="0.2">
      <c r="A1343" s="291"/>
      <c r="K1343" s="292"/>
      <c r="L1343" s="290"/>
    </row>
    <row r="1344" spans="1:12" s="288" customFormat="1" x14ac:dyDescent="0.2">
      <c r="A1344" s="291"/>
      <c r="K1344" s="292"/>
      <c r="L1344" s="290"/>
    </row>
    <row r="1345" spans="1:12" s="288" customFormat="1" x14ac:dyDescent="0.2">
      <c r="A1345" s="291"/>
      <c r="K1345" s="292"/>
      <c r="L1345" s="290"/>
    </row>
    <row r="1346" spans="1:12" s="288" customFormat="1" x14ac:dyDescent="0.2">
      <c r="A1346" s="291"/>
      <c r="K1346" s="292"/>
      <c r="L1346" s="290"/>
    </row>
    <row r="1347" spans="1:12" s="288" customFormat="1" x14ac:dyDescent="0.2">
      <c r="A1347" s="291"/>
      <c r="K1347" s="292"/>
      <c r="L1347" s="290"/>
    </row>
    <row r="1348" spans="1:12" s="288" customFormat="1" x14ac:dyDescent="0.2">
      <c r="A1348" s="291"/>
      <c r="K1348" s="292"/>
      <c r="L1348" s="290"/>
    </row>
    <row r="1349" spans="1:12" s="288" customFormat="1" x14ac:dyDescent="0.2">
      <c r="A1349" s="291"/>
      <c r="K1349" s="292"/>
      <c r="L1349" s="290"/>
    </row>
    <row r="1350" spans="1:12" s="288" customFormat="1" x14ac:dyDescent="0.2">
      <c r="A1350" s="291"/>
      <c r="K1350" s="292"/>
      <c r="L1350" s="290"/>
    </row>
    <row r="1351" spans="1:12" s="288" customFormat="1" x14ac:dyDescent="0.2">
      <c r="A1351" s="291"/>
      <c r="K1351" s="292"/>
      <c r="L1351" s="290"/>
    </row>
    <row r="1352" spans="1:12" s="288" customFormat="1" x14ac:dyDescent="0.2">
      <c r="A1352" s="291"/>
      <c r="K1352" s="292"/>
      <c r="L1352" s="290"/>
    </row>
    <row r="1353" spans="1:12" s="288" customFormat="1" x14ac:dyDescent="0.2">
      <c r="A1353" s="291"/>
      <c r="K1353" s="292"/>
      <c r="L1353" s="290"/>
    </row>
    <row r="1354" spans="1:12" s="288" customFormat="1" x14ac:dyDescent="0.2">
      <c r="A1354" s="291"/>
      <c r="K1354" s="292"/>
      <c r="L1354" s="290"/>
    </row>
    <row r="1355" spans="1:12" s="288" customFormat="1" x14ac:dyDescent="0.2">
      <c r="A1355" s="291"/>
      <c r="K1355" s="292"/>
      <c r="L1355" s="290"/>
    </row>
    <row r="1356" spans="1:12" s="288" customFormat="1" x14ac:dyDescent="0.2">
      <c r="A1356" s="291"/>
      <c r="K1356" s="292"/>
      <c r="L1356" s="290"/>
    </row>
    <row r="1357" spans="1:12" s="288" customFormat="1" x14ac:dyDescent="0.2">
      <c r="A1357" s="291"/>
      <c r="K1357" s="292"/>
      <c r="L1357" s="290"/>
    </row>
    <row r="1358" spans="1:12" s="288" customFormat="1" x14ac:dyDescent="0.2">
      <c r="A1358" s="291"/>
      <c r="K1358" s="292"/>
      <c r="L1358" s="290"/>
    </row>
    <row r="1359" spans="1:12" s="288" customFormat="1" x14ac:dyDescent="0.2">
      <c r="A1359" s="291"/>
      <c r="K1359" s="292"/>
      <c r="L1359" s="290"/>
    </row>
    <row r="1360" spans="1:12" s="288" customFormat="1" x14ac:dyDescent="0.2">
      <c r="A1360" s="291"/>
      <c r="K1360" s="292"/>
      <c r="L1360" s="290"/>
    </row>
    <row r="1361" spans="1:12" s="288" customFormat="1" x14ac:dyDescent="0.2">
      <c r="A1361" s="291"/>
      <c r="K1361" s="292"/>
      <c r="L1361" s="290"/>
    </row>
    <row r="1362" spans="1:12" s="288" customFormat="1" x14ac:dyDescent="0.2">
      <c r="A1362" s="291"/>
      <c r="K1362" s="292"/>
      <c r="L1362" s="290"/>
    </row>
    <row r="1363" spans="1:12" s="288" customFormat="1" x14ac:dyDescent="0.2">
      <c r="A1363" s="291"/>
      <c r="K1363" s="292"/>
      <c r="L1363" s="290"/>
    </row>
    <row r="1364" spans="1:12" s="288" customFormat="1" x14ac:dyDescent="0.2">
      <c r="A1364" s="291"/>
      <c r="K1364" s="292"/>
      <c r="L1364" s="290"/>
    </row>
    <row r="1365" spans="1:12" s="288" customFormat="1" x14ac:dyDescent="0.2">
      <c r="A1365" s="291"/>
      <c r="K1365" s="292"/>
      <c r="L1365" s="290"/>
    </row>
    <row r="1366" spans="1:12" s="288" customFormat="1" x14ac:dyDescent="0.2">
      <c r="A1366" s="291"/>
      <c r="K1366" s="292"/>
      <c r="L1366" s="290"/>
    </row>
    <row r="1367" spans="1:12" s="288" customFormat="1" x14ac:dyDescent="0.2">
      <c r="A1367" s="291"/>
      <c r="K1367" s="292"/>
      <c r="L1367" s="290"/>
    </row>
    <row r="1368" spans="1:12" s="288" customFormat="1" x14ac:dyDescent="0.2">
      <c r="A1368" s="291"/>
      <c r="K1368" s="292"/>
      <c r="L1368" s="290"/>
    </row>
    <row r="1369" spans="1:12" s="288" customFormat="1" x14ac:dyDescent="0.2">
      <c r="A1369" s="291"/>
      <c r="K1369" s="292"/>
      <c r="L1369" s="290"/>
    </row>
    <row r="1370" spans="1:12" s="288" customFormat="1" x14ac:dyDescent="0.2">
      <c r="A1370" s="291"/>
      <c r="K1370" s="292"/>
      <c r="L1370" s="290"/>
    </row>
    <row r="1371" spans="1:12" s="288" customFormat="1" x14ac:dyDescent="0.2">
      <c r="A1371" s="291"/>
      <c r="K1371" s="292"/>
      <c r="L1371" s="290"/>
    </row>
    <row r="1372" spans="1:12" s="288" customFormat="1" x14ac:dyDescent="0.2">
      <c r="A1372" s="291"/>
      <c r="K1372" s="292"/>
      <c r="L1372" s="290"/>
    </row>
    <row r="1373" spans="1:12" s="288" customFormat="1" x14ac:dyDescent="0.2">
      <c r="A1373" s="291"/>
      <c r="K1373" s="292"/>
      <c r="L1373" s="290"/>
    </row>
    <row r="1374" spans="1:12" s="288" customFormat="1" x14ac:dyDescent="0.2">
      <c r="A1374" s="291"/>
      <c r="K1374" s="292"/>
      <c r="L1374" s="290"/>
    </row>
    <row r="1375" spans="1:12" s="288" customFormat="1" x14ac:dyDescent="0.2">
      <c r="A1375" s="291"/>
      <c r="K1375" s="292"/>
      <c r="L1375" s="290"/>
    </row>
    <row r="1376" spans="1:12" s="288" customFormat="1" x14ac:dyDescent="0.2">
      <c r="A1376" s="291"/>
      <c r="K1376" s="292"/>
      <c r="L1376" s="290"/>
    </row>
    <row r="1377" spans="1:12" s="288" customFormat="1" x14ac:dyDescent="0.2">
      <c r="A1377" s="291"/>
      <c r="K1377" s="292"/>
      <c r="L1377" s="290"/>
    </row>
    <row r="1378" spans="1:12" s="288" customFormat="1" x14ac:dyDescent="0.2">
      <c r="A1378" s="291"/>
      <c r="K1378" s="292"/>
      <c r="L1378" s="290"/>
    </row>
    <row r="1379" spans="1:12" s="288" customFormat="1" x14ac:dyDescent="0.2">
      <c r="A1379" s="291"/>
      <c r="K1379" s="292"/>
      <c r="L1379" s="290"/>
    </row>
    <row r="1380" spans="1:12" s="288" customFormat="1" x14ac:dyDescent="0.2">
      <c r="A1380" s="291"/>
      <c r="K1380" s="292"/>
      <c r="L1380" s="290"/>
    </row>
    <row r="1381" spans="1:12" s="288" customFormat="1" x14ac:dyDescent="0.2">
      <c r="A1381" s="291"/>
      <c r="K1381" s="292"/>
      <c r="L1381" s="290"/>
    </row>
    <row r="1382" spans="1:12" s="288" customFormat="1" x14ac:dyDescent="0.2">
      <c r="A1382" s="291"/>
      <c r="K1382" s="292"/>
      <c r="L1382" s="290"/>
    </row>
    <row r="1383" spans="1:12" s="288" customFormat="1" x14ac:dyDescent="0.2">
      <c r="A1383" s="291"/>
      <c r="K1383" s="292"/>
      <c r="L1383" s="290"/>
    </row>
    <row r="1384" spans="1:12" s="288" customFormat="1" x14ac:dyDescent="0.2">
      <c r="A1384" s="291"/>
      <c r="K1384" s="292"/>
      <c r="L1384" s="290"/>
    </row>
    <row r="1385" spans="1:12" s="288" customFormat="1" x14ac:dyDescent="0.2">
      <c r="A1385" s="291"/>
      <c r="K1385" s="292"/>
      <c r="L1385" s="290"/>
    </row>
    <row r="1386" spans="1:12" s="288" customFormat="1" x14ac:dyDescent="0.2">
      <c r="A1386" s="291"/>
      <c r="K1386" s="292"/>
      <c r="L1386" s="290"/>
    </row>
    <row r="1387" spans="1:12" s="288" customFormat="1" x14ac:dyDescent="0.2">
      <c r="A1387" s="291"/>
      <c r="K1387" s="292"/>
      <c r="L1387" s="290"/>
    </row>
    <row r="1388" spans="1:12" s="288" customFormat="1" x14ac:dyDescent="0.2">
      <c r="A1388" s="291"/>
      <c r="K1388" s="292"/>
      <c r="L1388" s="290"/>
    </row>
    <row r="1389" spans="1:12" s="288" customFormat="1" x14ac:dyDescent="0.2">
      <c r="A1389" s="291"/>
      <c r="K1389" s="292"/>
      <c r="L1389" s="290"/>
    </row>
    <row r="1390" spans="1:12" s="288" customFormat="1" x14ac:dyDescent="0.2">
      <c r="A1390" s="291"/>
      <c r="K1390" s="292"/>
      <c r="L1390" s="290"/>
    </row>
    <row r="1391" spans="1:12" s="288" customFormat="1" x14ac:dyDescent="0.2">
      <c r="A1391" s="291"/>
      <c r="K1391" s="292"/>
      <c r="L1391" s="290"/>
    </row>
    <row r="1392" spans="1:12" s="288" customFormat="1" x14ac:dyDescent="0.2">
      <c r="A1392" s="291"/>
      <c r="K1392" s="292"/>
      <c r="L1392" s="290"/>
    </row>
    <row r="1393" spans="1:12" s="288" customFormat="1" x14ac:dyDescent="0.2">
      <c r="A1393" s="291"/>
      <c r="K1393" s="292"/>
      <c r="L1393" s="290"/>
    </row>
    <row r="1394" spans="1:12" s="288" customFormat="1" x14ac:dyDescent="0.2">
      <c r="A1394" s="291"/>
      <c r="K1394" s="292"/>
      <c r="L1394" s="290"/>
    </row>
    <row r="1395" spans="1:12" s="288" customFormat="1" x14ac:dyDescent="0.2">
      <c r="A1395" s="291"/>
      <c r="K1395" s="292"/>
      <c r="L1395" s="290"/>
    </row>
    <row r="1396" spans="1:12" s="288" customFormat="1" x14ac:dyDescent="0.2">
      <c r="A1396" s="291"/>
      <c r="K1396" s="292"/>
      <c r="L1396" s="290"/>
    </row>
    <row r="1397" spans="1:12" s="288" customFormat="1" x14ac:dyDescent="0.2">
      <c r="A1397" s="291"/>
      <c r="K1397" s="292"/>
      <c r="L1397" s="290"/>
    </row>
    <row r="1398" spans="1:12" s="288" customFormat="1" x14ac:dyDescent="0.2">
      <c r="A1398" s="291"/>
      <c r="K1398" s="292"/>
      <c r="L1398" s="290"/>
    </row>
    <row r="1399" spans="1:12" s="288" customFormat="1" x14ac:dyDescent="0.2">
      <c r="A1399" s="291"/>
      <c r="K1399" s="292"/>
      <c r="L1399" s="290"/>
    </row>
    <row r="1400" spans="1:12" s="288" customFormat="1" x14ac:dyDescent="0.2">
      <c r="A1400" s="291"/>
      <c r="K1400" s="292"/>
      <c r="L1400" s="290"/>
    </row>
    <row r="1401" spans="1:12" s="288" customFormat="1" x14ac:dyDescent="0.2">
      <c r="A1401" s="291"/>
      <c r="K1401" s="292"/>
      <c r="L1401" s="290"/>
    </row>
    <row r="1402" spans="1:12" s="288" customFormat="1" x14ac:dyDescent="0.2">
      <c r="A1402" s="291"/>
      <c r="K1402" s="292"/>
      <c r="L1402" s="290"/>
    </row>
    <row r="1403" spans="1:12" s="288" customFormat="1" x14ac:dyDescent="0.2">
      <c r="A1403" s="291"/>
      <c r="K1403" s="292"/>
      <c r="L1403" s="290"/>
    </row>
    <row r="1404" spans="1:12" s="288" customFormat="1" x14ac:dyDescent="0.2">
      <c r="A1404" s="291"/>
      <c r="K1404" s="292"/>
      <c r="L1404" s="290"/>
    </row>
    <row r="1405" spans="1:12" s="288" customFormat="1" x14ac:dyDescent="0.2">
      <c r="A1405" s="291"/>
      <c r="K1405" s="292"/>
      <c r="L1405" s="290"/>
    </row>
    <row r="1406" spans="1:12" s="288" customFormat="1" x14ac:dyDescent="0.2">
      <c r="A1406" s="291"/>
      <c r="K1406" s="292"/>
      <c r="L1406" s="290"/>
    </row>
    <row r="1407" spans="1:12" s="288" customFormat="1" x14ac:dyDescent="0.2">
      <c r="A1407" s="291"/>
      <c r="K1407" s="292"/>
      <c r="L1407" s="290"/>
    </row>
    <row r="1408" spans="1:12" s="288" customFormat="1" x14ac:dyDescent="0.2">
      <c r="A1408" s="291"/>
      <c r="K1408" s="292"/>
      <c r="L1408" s="290"/>
    </row>
    <row r="1409" spans="1:12" s="288" customFormat="1" x14ac:dyDescent="0.2">
      <c r="A1409" s="291"/>
      <c r="K1409" s="292"/>
      <c r="L1409" s="290"/>
    </row>
    <row r="1410" spans="1:12" s="288" customFormat="1" x14ac:dyDescent="0.2">
      <c r="A1410" s="291"/>
      <c r="K1410" s="292"/>
      <c r="L1410" s="290"/>
    </row>
    <row r="1411" spans="1:12" s="288" customFormat="1" x14ac:dyDescent="0.2">
      <c r="A1411" s="291"/>
      <c r="K1411" s="292"/>
      <c r="L1411" s="290"/>
    </row>
    <row r="1412" spans="1:12" s="288" customFormat="1" x14ac:dyDescent="0.2">
      <c r="A1412" s="291"/>
      <c r="K1412" s="292"/>
      <c r="L1412" s="290"/>
    </row>
    <row r="1413" spans="1:12" s="288" customFormat="1" x14ac:dyDescent="0.2">
      <c r="A1413" s="291"/>
      <c r="K1413" s="292"/>
      <c r="L1413" s="290"/>
    </row>
    <row r="1414" spans="1:12" s="288" customFormat="1" x14ac:dyDescent="0.2">
      <c r="A1414" s="291"/>
      <c r="K1414" s="292"/>
      <c r="L1414" s="290"/>
    </row>
    <row r="1415" spans="1:12" s="288" customFormat="1" x14ac:dyDescent="0.2">
      <c r="A1415" s="291"/>
      <c r="K1415" s="292"/>
      <c r="L1415" s="290"/>
    </row>
    <row r="1416" spans="1:12" s="288" customFormat="1" x14ac:dyDescent="0.2">
      <c r="A1416" s="291"/>
      <c r="K1416" s="292"/>
      <c r="L1416" s="290"/>
    </row>
    <row r="1417" spans="1:12" s="288" customFormat="1" x14ac:dyDescent="0.2">
      <c r="A1417" s="291"/>
      <c r="K1417" s="292"/>
      <c r="L1417" s="290"/>
    </row>
    <row r="1418" spans="1:12" s="288" customFormat="1" x14ac:dyDescent="0.2">
      <c r="A1418" s="291"/>
      <c r="K1418" s="292"/>
      <c r="L1418" s="290"/>
    </row>
    <row r="1419" spans="1:12" s="294" customFormat="1" x14ac:dyDescent="0.2">
      <c r="A1419" s="293"/>
      <c r="K1419" s="295"/>
      <c r="L1419" s="296"/>
    </row>
  </sheetData>
  <mergeCells count="827">
    <mergeCell ref="A173:A174"/>
    <mergeCell ref="A175:A176"/>
    <mergeCell ref="C222:C223"/>
    <mergeCell ref="C196:C197"/>
    <mergeCell ref="C135:C138"/>
    <mergeCell ref="A246:A247"/>
    <mergeCell ref="C246:C247"/>
    <mergeCell ref="A248:A250"/>
    <mergeCell ref="C248:C250"/>
    <mergeCell ref="C201:C203"/>
    <mergeCell ref="A155:A157"/>
    <mergeCell ref="B155:B157"/>
    <mergeCell ref="A194:A195"/>
    <mergeCell ref="B194:B195"/>
    <mergeCell ref="A216:A218"/>
    <mergeCell ref="B216:B218"/>
    <mergeCell ref="A210:A212"/>
    <mergeCell ref="B210:B212"/>
    <mergeCell ref="A213:A215"/>
    <mergeCell ref="B213:B215"/>
    <mergeCell ref="A219:A221"/>
    <mergeCell ref="B219:B221"/>
    <mergeCell ref="A222:A223"/>
    <mergeCell ref="B222:B223"/>
    <mergeCell ref="B164:B166"/>
    <mergeCell ref="B173:B174"/>
    <mergeCell ref="B177:B178"/>
    <mergeCell ref="C173:C174"/>
    <mergeCell ref="C177:C178"/>
    <mergeCell ref="B170:B172"/>
    <mergeCell ref="C158:C172"/>
    <mergeCell ref="B175:B176"/>
    <mergeCell ref="C175:C176"/>
    <mergeCell ref="L194:L195"/>
    <mergeCell ref="O368:O371"/>
    <mergeCell ref="C394:C395"/>
    <mergeCell ref="L394:L395"/>
    <mergeCell ref="O394:O395"/>
    <mergeCell ref="O482:O485"/>
    <mergeCell ref="C9:C21"/>
    <mergeCell ref="O90:O122"/>
    <mergeCell ref="C96:C98"/>
    <mergeCell ref="O123:O241"/>
    <mergeCell ref="N131:N132"/>
    <mergeCell ref="N135:N138"/>
    <mergeCell ref="C155:C156"/>
    <mergeCell ref="C92:C95"/>
    <mergeCell ref="C189:C190"/>
    <mergeCell ref="C125:C127"/>
    <mergeCell ref="C139:C142"/>
    <mergeCell ref="C145:C147"/>
    <mergeCell ref="C198:C200"/>
    <mergeCell ref="C100:C101"/>
    <mergeCell ref="C37:C42"/>
    <mergeCell ref="C43:C47"/>
    <mergeCell ref="A9:A21"/>
    <mergeCell ref="B9:B21"/>
    <mergeCell ref="B48:B60"/>
    <mergeCell ref="M5:M8"/>
    <mergeCell ref="N5:N8"/>
    <mergeCell ref="O5:O8"/>
    <mergeCell ref="F7:F8"/>
    <mergeCell ref="G7:I7"/>
    <mergeCell ref="O87:O89"/>
    <mergeCell ref="O61:O73"/>
    <mergeCell ref="C63:C68"/>
    <mergeCell ref="C69:C73"/>
    <mergeCell ref="C50:C55"/>
    <mergeCell ref="C56:C60"/>
    <mergeCell ref="A87:A89"/>
    <mergeCell ref="B87:B89"/>
    <mergeCell ref="A61:A73"/>
    <mergeCell ref="A74:A86"/>
    <mergeCell ref="B74:B86"/>
    <mergeCell ref="C74:C86"/>
    <mergeCell ref="B62:B73"/>
    <mergeCell ref="A35:A47"/>
    <mergeCell ref="B35:B47"/>
    <mergeCell ref="O36:O60"/>
    <mergeCell ref="M1:O1"/>
    <mergeCell ref="M2:O2"/>
    <mergeCell ref="A3:J3"/>
    <mergeCell ref="H4:J4"/>
    <mergeCell ref="A5:A8"/>
    <mergeCell ref="B5:B8"/>
    <mergeCell ref="C5:C8"/>
    <mergeCell ref="D5:D8"/>
    <mergeCell ref="E5:E8"/>
    <mergeCell ref="L5:L8"/>
    <mergeCell ref="A48:A60"/>
    <mergeCell ref="A114:A118"/>
    <mergeCell ref="B114:B118"/>
    <mergeCell ref="C114:C122"/>
    <mergeCell ref="A99:A101"/>
    <mergeCell ref="B99:B101"/>
    <mergeCell ref="A90:A98"/>
    <mergeCell ref="B90:B98"/>
    <mergeCell ref="A123:A128"/>
    <mergeCell ref="B123:B128"/>
    <mergeCell ref="A102:A104"/>
    <mergeCell ref="B102:B104"/>
    <mergeCell ref="C102:C104"/>
    <mergeCell ref="A105:A109"/>
    <mergeCell ref="B105:B109"/>
    <mergeCell ref="C105:C107"/>
    <mergeCell ref="A131:A134"/>
    <mergeCell ref="B131:B134"/>
    <mergeCell ref="A139:A142"/>
    <mergeCell ref="B139:B142"/>
    <mergeCell ref="L139:L142"/>
    <mergeCell ref="A143:A147"/>
    <mergeCell ref="B143:B147"/>
    <mergeCell ref="L143:L147"/>
    <mergeCell ref="C131:C134"/>
    <mergeCell ref="L131:L132"/>
    <mergeCell ref="A135:A138"/>
    <mergeCell ref="B135:B138"/>
    <mergeCell ref="L135:L138"/>
    <mergeCell ref="A181:A183"/>
    <mergeCell ref="B181:B183"/>
    <mergeCell ref="C181:C183"/>
    <mergeCell ref="L181:L183"/>
    <mergeCell ref="N143:N147"/>
    <mergeCell ref="A148:A151"/>
    <mergeCell ref="B148:B151"/>
    <mergeCell ref="L148:L151"/>
    <mergeCell ref="N148:N151"/>
    <mergeCell ref="A152:A154"/>
    <mergeCell ref="B152:B154"/>
    <mergeCell ref="C152:C154"/>
    <mergeCell ref="L152:L154"/>
    <mergeCell ref="N152:N154"/>
    <mergeCell ref="B179:B180"/>
    <mergeCell ref="C179:C180"/>
    <mergeCell ref="A158:A160"/>
    <mergeCell ref="A161:A163"/>
    <mergeCell ref="A164:A166"/>
    <mergeCell ref="A167:A169"/>
    <mergeCell ref="A170:A172"/>
    <mergeCell ref="B158:B160"/>
    <mergeCell ref="B161:B163"/>
    <mergeCell ref="L155:L157"/>
    <mergeCell ref="A184:A187"/>
    <mergeCell ref="B184:B187"/>
    <mergeCell ref="L184:L187"/>
    <mergeCell ref="N184:N187"/>
    <mergeCell ref="A188:A189"/>
    <mergeCell ref="B188:B189"/>
    <mergeCell ref="L188:L189"/>
    <mergeCell ref="B191:B193"/>
    <mergeCell ref="A191:A193"/>
    <mergeCell ref="L191:L192"/>
    <mergeCell ref="N191:N192"/>
    <mergeCell ref="A201:A202"/>
    <mergeCell ref="B201:B202"/>
    <mergeCell ref="A203:A206"/>
    <mergeCell ref="B204:B206"/>
    <mergeCell ref="A207:A208"/>
    <mergeCell ref="B207:B208"/>
    <mergeCell ref="A196:A197"/>
    <mergeCell ref="B196:B197"/>
    <mergeCell ref="A198:A200"/>
    <mergeCell ref="B198:B199"/>
    <mergeCell ref="A224:A225"/>
    <mergeCell ref="B224:B225"/>
    <mergeCell ref="A234:A235"/>
    <mergeCell ref="B234:B235"/>
    <mergeCell ref="C234:C235"/>
    <mergeCell ref="A227:A230"/>
    <mergeCell ref="B227:B230"/>
    <mergeCell ref="C227:C230"/>
    <mergeCell ref="L229:L230"/>
    <mergeCell ref="A231:A233"/>
    <mergeCell ref="B231:B233"/>
    <mergeCell ref="C231:C232"/>
    <mergeCell ref="L231:L233"/>
    <mergeCell ref="A238:A239"/>
    <mergeCell ref="B238:B239"/>
    <mergeCell ref="C238:C239"/>
    <mergeCell ref="A236:A237"/>
    <mergeCell ref="B236:B237"/>
    <mergeCell ref="C236:C237"/>
    <mergeCell ref="A275:A287"/>
    <mergeCell ref="B275:B287"/>
    <mergeCell ref="C275:C287"/>
    <mergeCell ref="B246:B247"/>
    <mergeCell ref="A288:A289"/>
    <mergeCell ref="B288:B289"/>
    <mergeCell ref="C288:C289"/>
    <mergeCell ref="C263:C266"/>
    <mergeCell ref="O263:O266"/>
    <mergeCell ref="A267:A274"/>
    <mergeCell ref="B267:B274"/>
    <mergeCell ref="O268:O270"/>
    <mergeCell ref="O288:O289"/>
    <mergeCell ref="C267:C274"/>
    <mergeCell ref="A290:A291"/>
    <mergeCell ref="B290:B291"/>
    <mergeCell ref="C290:C291"/>
    <mergeCell ref="O290:O293"/>
    <mergeCell ref="A292:A293"/>
    <mergeCell ref="B292:B293"/>
    <mergeCell ref="C292:C293"/>
    <mergeCell ref="L292:L293"/>
    <mergeCell ref="O294:O295"/>
    <mergeCell ref="A296:A297"/>
    <mergeCell ref="B296:B297"/>
    <mergeCell ref="C296:C297"/>
    <mergeCell ref="L296:L297"/>
    <mergeCell ref="N296:N297"/>
    <mergeCell ref="O296:O297"/>
    <mergeCell ref="N292:N293"/>
    <mergeCell ref="A294:A295"/>
    <mergeCell ref="B294:B295"/>
    <mergeCell ref="C294:C295"/>
    <mergeCell ref="L294:L295"/>
    <mergeCell ref="N294:N295"/>
    <mergeCell ref="A302:A303"/>
    <mergeCell ref="B302:B303"/>
    <mergeCell ref="C302:C303"/>
    <mergeCell ref="L302:L303"/>
    <mergeCell ref="N302:N303"/>
    <mergeCell ref="O302:O303"/>
    <mergeCell ref="A298:A299"/>
    <mergeCell ref="B298:B299"/>
    <mergeCell ref="C298:C299"/>
    <mergeCell ref="L298:L299"/>
    <mergeCell ref="O298:O301"/>
    <mergeCell ref="A300:A301"/>
    <mergeCell ref="B300:B301"/>
    <mergeCell ref="C300:C301"/>
    <mergeCell ref="L300:L301"/>
    <mergeCell ref="A317:A328"/>
    <mergeCell ref="B317:B328"/>
    <mergeCell ref="C317:C318"/>
    <mergeCell ref="O317:O328"/>
    <mergeCell ref="C319:C323"/>
    <mergeCell ref="C324:C328"/>
    <mergeCell ref="A304:A306"/>
    <mergeCell ref="B304:B306"/>
    <mergeCell ref="C304:C309"/>
    <mergeCell ref="L304:L308"/>
    <mergeCell ref="N304:N308"/>
    <mergeCell ref="O304:O308"/>
    <mergeCell ref="A307:A309"/>
    <mergeCell ref="B307:B309"/>
    <mergeCell ref="A333:A335"/>
    <mergeCell ref="B333:B335"/>
    <mergeCell ref="C333:C335"/>
    <mergeCell ref="L333:L335"/>
    <mergeCell ref="O333:O335"/>
    <mergeCell ref="A336:A339"/>
    <mergeCell ref="B336:B339"/>
    <mergeCell ref="O336:O345"/>
    <mergeCell ref="A331:A332"/>
    <mergeCell ref="B331:B332"/>
    <mergeCell ref="C331:C332"/>
    <mergeCell ref="L331:L332"/>
    <mergeCell ref="N331:N332"/>
    <mergeCell ref="O331:O332"/>
    <mergeCell ref="A347:A348"/>
    <mergeCell ref="B347:B348"/>
    <mergeCell ref="O347:O348"/>
    <mergeCell ref="A349:A351"/>
    <mergeCell ref="B349:B351"/>
    <mergeCell ref="C349:C351"/>
    <mergeCell ref="O350:O351"/>
    <mergeCell ref="C337:C339"/>
    <mergeCell ref="A340:A341"/>
    <mergeCell ref="B340:B341"/>
    <mergeCell ref="L340:L341"/>
    <mergeCell ref="N340:N341"/>
    <mergeCell ref="A342:A345"/>
    <mergeCell ref="B342:B345"/>
    <mergeCell ref="C342:C345"/>
    <mergeCell ref="C346:C348"/>
    <mergeCell ref="A356:A357"/>
    <mergeCell ref="B356:B357"/>
    <mergeCell ref="C356:C357"/>
    <mergeCell ref="O356:O357"/>
    <mergeCell ref="A352:A353"/>
    <mergeCell ref="B352:B353"/>
    <mergeCell ref="C352:C353"/>
    <mergeCell ref="A354:A355"/>
    <mergeCell ref="B354:B355"/>
    <mergeCell ref="C354:C355"/>
    <mergeCell ref="L354:L355"/>
    <mergeCell ref="O354:O355"/>
    <mergeCell ref="A370:A371"/>
    <mergeCell ref="B370:B371"/>
    <mergeCell ref="L370:L371"/>
    <mergeCell ref="N370:N371"/>
    <mergeCell ref="A358:A367"/>
    <mergeCell ref="B358:B367"/>
    <mergeCell ref="C358:C367"/>
    <mergeCell ref="A368:A369"/>
    <mergeCell ref="B368:B369"/>
    <mergeCell ref="C368:C371"/>
    <mergeCell ref="L368:L369"/>
    <mergeCell ref="N368:N369"/>
    <mergeCell ref="A372:A373"/>
    <mergeCell ref="B372:B373"/>
    <mergeCell ref="C372:C373"/>
    <mergeCell ref="N372:N373"/>
    <mergeCell ref="O372:O373"/>
    <mergeCell ref="A374:A375"/>
    <mergeCell ref="B374:B375"/>
    <mergeCell ref="C374:C375"/>
    <mergeCell ref="L374:L375"/>
    <mergeCell ref="N374:N375"/>
    <mergeCell ref="O374:O375"/>
    <mergeCell ref="A376:A377"/>
    <mergeCell ref="B376:B377"/>
    <mergeCell ref="C376:C377"/>
    <mergeCell ref="N376:N377"/>
    <mergeCell ref="O376:O379"/>
    <mergeCell ref="A378:A380"/>
    <mergeCell ref="B378:B380"/>
    <mergeCell ref="C378:C380"/>
    <mergeCell ref="L378:L379"/>
    <mergeCell ref="A381:A382"/>
    <mergeCell ref="B381:B382"/>
    <mergeCell ref="C381:C382"/>
    <mergeCell ref="L381:L382"/>
    <mergeCell ref="N381:N382"/>
    <mergeCell ref="O381:O384"/>
    <mergeCell ref="A383:A384"/>
    <mergeCell ref="B383:B384"/>
    <mergeCell ref="C383:C384"/>
    <mergeCell ref="L383:L384"/>
    <mergeCell ref="A387:A388"/>
    <mergeCell ref="B387:B388"/>
    <mergeCell ref="C387:C388"/>
    <mergeCell ref="L387:L388"/>
    <mergeCell ref="N387:N388"/>
    <mergeCell ref="O387:O388"/>
    <mergeCell ref="N383:N384"/>
    <mergeCell ref="A385:A386"/>
    <mergeCell ref="B385:B386"/>
    <mergeCell ref="C385:C386"/>
    <mergeCell ref="N385:N386"/>
    <mergeCell ref="O385:O386"/>
    <mergeCell ref="A396:A397"/>
    <mergeCell ref="B396:B397"/>
    <mergeCell ref="C396:C397"/>
    <mergeCell ref="O396:O397"/>
    <mergeCell ref="A389:A391"/>
    <mergeCell ref="B389:B391"/>
    <mergeCell ref="C389:C391"/>
    <mergeCell ref="L389:L391"/>
    <mergeCell ref="O389:O391"/>
    <mergeCell ref="A392:A393"/>
    <mergeCell ref="B392:B393"/>
    <mergeCell ref="C392:C393"/>
    <mergeCell ref="O392:O393"/>
    <mergeCell ref="A416:A418"/>
    <mergeCell ref="B416:B418"/>
    <mergeCell ref="O416:O418"/>
    <mergeCell ref="C417:C418"/>
    <mergeCell ref="B419:B426"/>
    <mergeCell ref="O419:O422"/>
    <mergeCell ref="C421:C426"/>
    <mergeCell ref="A400:A406"/>
    <mergeCell ref="B400:B406"/>
    <mergeCell ref="C400:C406"/>
    <mergeCell ref="O400:O406"/>
    <mergeCell ref="A408:A414"/>
    <mergeCell ref="B408:B414"/>
    <mergeCell ref="C408:C409"/>
    <mergeCell ref="O408:O414"/>
    <mergeCell ref="C410:C415"/>
    <mergeCell ref="A427:A439"/>
    <mergeCell ref="B427:B439"/>
    <mergeCell ref="C427:C439"/>
    <mergeCell ref="A440:A452"/>
    <mergeCell ref="B440:B452"/>
    <mergeCell ref="B453:B460"/>
    <mergeCell ref="A453:A460"/>
    <mergeCell ref="C453:C460"/>
    <mergeCell ref="O440:O452"/>
    <mergeCell ref="C442:C447"/>
    <mergeCell ref="C448:C452"/>
    <mergeCell ref="A486:A487"/>
    <mergeCell ref="B486:B492"/>
    <mergeCell ref="C486:C487"/>
    <mergeCell ref="L486:L487"/>
    <mergeCell ref="M486:M487"/>
    <mergeCell ref="N486:N487"/>
    <mergeCell ref="O486:O487"/>
    <mergeCell ref="O461:O481"/>
    <mergeCell ref="A468:A474"/>
    <mergeCell ref="B468:B474"/>
    <mergeCell ref="L468:L474"/>
    <mergeCell ref="A475:A481"/>
    <mergeCell ref="B475:B481"/>
    <mergeCell ref="L475:L481"/>
    <mergeCell ref="A461:A467"/>
    <mergeCell ref="B461:B467"/>
    <mergeCell ref="C461:C485"/>
    <mergeCell ref="A482:A485"/>
    <mergeCell ref="B482:B485"/>
    <mergeCell ref="A493:A494"/>
    <mergeCell ref="B493:B494"/>
    <mergeCell ref="C493:C494"/>
    <mergeCell ref="A495:A497"/>
    <mergeCell ref="B495:B497"/>
    <mergeCell ref="C495:C497"/>
    <mergeCell ref="L495:L497"/>
    <mergeCell ref="O495:O497"/>
    <mergeCell ref="A511:A512"/>
    <mergeCell ref="B511:B512"/>
    <mergeCell ref="C511:C512"/>
    <mergeCell ref="O511:O512"/>
    <mergeCell ref="A513:A525"/>
    <mergeCell ref="B513:B525"/>
    <mergeCell ref="C513:C525"/>
    <mergeCell ref="O498:O505"/>
    <mergeCell ref="A506:A507"/>
    <mergeCell ref="B506:B507"/>
    <mergeCell ref="C506:C507"/>
    <mergeCell ref="O506:O507"/>
    <mergeCell ref="C500:C505"/>
    <mergeCell ref="B498:B499"/>
    <mergeCell ref="B500:B505"/>
    <mergeCell ref="A539:A545"/>
    <mergeCell ref="B539:B545"/>
    <mergeCell ref="C539:C545"/>
    <mergeCell ref="A547:A554"/>
    <mergeCell ref="B547:B554"/>
    <mergeCell ref="O548:O552"/>
    <mergeCell ref="A526:A538"/>
    <mergeCell ref="B526:B538"/>
    <mergeCell ref="O526:O538"/>
    <mergeCell ref="C527:C533"/>
    <mergeCell ref="C534:C538"/>
    <mergeCell ref="C547:C554"/>
    <mergeCell ref="O568:O572"/>
    <mergeCell ref="A573:A574"/>
    <mergeCell ref="B573:B574"/>
    <mergeCell ref="C573:C574"/>
    <mergeCell ref="L573:L574"/>
    <mergeCell ref="M573:M574"/>
    <mergeCell ref="N573:N574"/>
    <mergeCell ref="O573:O574"/>
    <mergeCell ref="A555:A567"/>
    <mergeCell ref="B555:B567"/>
    <mergeCell ref="C556:C567"/>
    <mergeCell ref="A568:A572"/>
    <mergeCell ref="B568:B572"/>
    <mergeCell ref="C568:C572"/>
    <mergeCell ref="O575:O576"/>
    <mergeCell ref="A577:A578"/>
    <mergeCell ref="B577:B578"/>
    <mergeCell ref="C577:C578"/>
    <mergeCell ref="L577:L578"/>
    <mergeCell ref="M577:M578"/>
    <mergeCell ref="N577:N578"/>
    <mergeCell ref="O577:O578"/>
    <mergeCell ref="A575:A576"/>
    <mergeCell ref="B575:B576"/>
    <mergeCell ref="C575:C576"/>
    <mergeCell ref="L575:L576"/>
    <mergeCell ref="M575:M576"/>
    <mergeCell ref="N575:N576"/>
    <mergeCell ref="O579:O580"/>
    <mergeCell ref="A581:A582"/>
    <mergeCell ref="B581:B582"/>
    <mergeCell ref="C581:C582"/>
    <mergeCell ref="L581:L582"/>
    <mergeCell ref="M581:M582"/>
    <mergeCell ref="N581:N582"/>
    <mergeCell ref="O581:O582"/>
    <mergeCell ref="A579:A580"/>
    <mergeCell ref="B579:B580"/>
    <mergeCell ref="C579:C580"/>
    <mergeCell ref="L579:L580"/>
    <mergeCell ref="M579:M580"/>
    <mergeCell ref="N579:N580"/>
    <mergeCell ref="A583:A584"/>
    <mergeCell ref="B583:B584"/>
    <mergeCell ref="C583:C584"/>
    <mergeCell ref="L583:L584"/>
    <mergeCell ref="O583:O584"/>
    <mergeCell ref="A585:A586"/>
    <mergeCell ref="B585:B586"/>
    <mergeCell ref="C585:C586"/>
    <mergeCell ref="L585:L586"/>
    <mergeCell ref="O585:O586"/>
    <mergeCell ref="A587:A588"/>
    <mergeCell ref="B587:B588"/>
    <mergeCell ref="C587:C588"/>
    <mergeCell ref="L587:L588"/>
    <mergeCell ref="O587:O588"/>
    <mergeCell ref="A589:A590"/>
    <mergeCell ref="B589:B590"/>
    <mergeCell ref="C589:C590"/>
    <mergeCell ref="L589:L590"/>
    <mergeCell ref="O589:O590"/>
    <mergeCell ref="A591:A592"/>
    <mergeCell ref="B591:B592"/>
    <mergeCell ref="C591:C592"/>
    <mergeCell ref="L591:L592"/>
    <mergeCell ref="O591:O592"/>
    <mergeCell ref="A593:A594"/>
    <mergeCell ref="B593:B594"/>
    <mergeCell ref="C593:C594"/>
    <mergeCell ref="L593:L594"/>
    <mergeCell ref="M593:M594"/>
    <mergeCell ref="A611:A620"/>
    <mergeCell ref="B611:B620"/>
    <mergeCell ref="C611:C620"/>
    <mergeCell ref="M611:M620"/>
    <mergeCell ref="N611:N620"/>
    <mergeCell ref="O611:O620"/>
    <mergeCell ref="N593:N594"/>
    <mergeCell ref="O593:O594"/>
    <mergeCell ref="A595:A596"/>
    <mergeCell ref="B595:B596"/>
    <mergeCell ref="C595:C606"/>
    <mergeCell ref="O595:O606"/>
    <mergeCell ref="A621:A629"/>
    <mergeCell ref="B621:B629"/>
    <mergeCell ref="C621:C629"/>
    <mergeCell ref="M621:M663"/>
    <mergeCell ref="N621:N623"/>
    <mergeCell ref="O621:O663"/>
    <mergeCell ref="A630:A632"/>
    <mergeCell ref="B630:B632"/>
    <mergeCell ref="A635:A637"/>
    <mergeCell ref="B635:B637"/>
    <mergeCell ref="A664:A665"/>
    <mergeCell ref="B664:B665"/>
    <mergeCell ref="C664:C665"/>
    <mergeCell ref="O664:O665"/>
    <mergeCell ref="A666:A672"/>
    <mergeCell ref="B666:B672"/>
    <mergeCell ref="C666:C672"/>
    <mergeCell ref="A640:A642"/>
    <mergeCell ref="B640:B642"/>
    <mergeCell ref="A645:A652"/>
    <mergeCell ref="B645:B652"/>
    <mergeCell ref="A656:A659"/>
    <mergeCell ref="B656:B659"/>
    <mergeCell ref="O666:O672"/>
    <mergeCell ref="A673:A679"/>
    <mergeCell ref="B673:B679"/>
    <mergeCell ref="C673:C679"/>
    <mergeCell ref="O673:O679"/>
    <mergeCell ref="A684:A686"/>
    <mergeCell ref="B684:B686"/>
    <mergeCell ref="C684:C686"/>
    <mergeCell ref="O684:O691"/>
    <mergeCell ref="A687:A691"/>
    <mergeCell ref="B687:B691"/>
    <mergeCell ref="C680:C683"/>
    <mergeCell ref="B680:B681"/>
    <mergeCell ref="B682:B683"/>
    <mergeCell ref="O697:O700"/>
    <mergeCell ref="A701:A704"/>
    <mergeCell ref="B701:B704"/>
    <mergeCell ref="C701:C704"/>
    <mergeCell ref="O701:O704"/>
    <mergeCell ref="A714:A726"/>
    <mergeCell ref="B714:B726"/>
    <mergeCell ref="C687:C691"/>
    <mergeCell ref="A692:A696"/>
    <mergeCell ref="B692:B696"/>
    <mergeCell ref="C692:C696"/>
    <mergeCell ref="A697:A700"/>
    <mergeCell ref="B697:B700"/>
    <mergeCell ref="C697:C700"/>
    <mergeCell ref="A705:A707"/>
    <mergeCell ref="B708:B709"/>
    <mergeCell ref="O705:O709"/>
    <mergeCell ref="O742:O754"/>
    <mergeCell ref="A743:A754"/>
    <mergeCell ref="B743:B754"/>
    <mergeCell ref="C744:C749"/>
    <mergeCell ref="C750:C754"/>
    <mergeCell ref="A755:A762"/>
    <mergeCell ref="B755:B762"/>
    <mergeCell ref="C755:C762"/>
    <mergeCell ref="A727:A739"/>
    <mergeCell ref="B727:B739"/>
    <mergeCell ref="O728:O739"/>
    <mergeCell ref="C729:C739"/>
    <mergeCell ref="A740:A741"/>
    <mergeCell ref="B740:B741"/>
    <mergeCell ref="O740:O741"/>
    <mergeCell ref="O777:O779"/>
    <mergeCell ref="A781:A783"/>
    <mergeCell ref="B781:B783"/>
    <mergeCell ref="C781:C783"/>
    <mergeCell ref="O781:O783"/>
    <mergeCell ref="O763:O769"/>
    <mergeCell ref="O770:O772"/>
    <mergeCell ref="A774:A775"/>
    <mergeCell ref="B774:B775"/>
    <mergeCell ref="O774:O775"/>
    <mergeCell ref="A763:A766"/>
    <mergeCell ref="B763:B766"/>
    <mergeCell ref="C763:C775"/>
    <mergeCell ref="L763:L766"/>
    <mergeCell ref="M763:M766"/>
    <mergeCell ref="N763:N766"/>
    <mergeCell ref="B770:B773"/>
    <mergeCell ref="A770:A773"/>
    <mergeCell ref="B777:B780"/>
    <mergeCell ref="A777:A780"/>
    <mergeCell ref="C777:C780"/>
    <mergeCell ref="A792:A793"/>
    <mergeCell ref="B792:B793"/>
    <mergeCell ref="O792:O793"/>
    <mergeCell ref="A794:A797"/>
    <mergeCell ref="B794:B797"/>
    <mergeCell ref="O794:O797"/>
    <mergeCell ref="A784:A785"/>
    <mergeCell ref="B784:B785"/>
    <mergeCell ref="C784:C815"/>
    <mergeCell ref="O784:O785"/>
    <mergeCell ref="A786:A788"/>
    <mergeCell ref="B786:B788"/>
    <mergeCell ref="O786:O788"/>
    <mergeCell ref="A789:A791"/>
    <mergeCell ref="B789:B791"/>
    <mergeCell ref="O789:O791"/>
    <mergeCell ref="A806:A807"/>
    <mergeCell ref="B806:B807"/>
    <mergeCell ref="O806:O807"/>
    <mergeCell ref="A808:A809"/>
    <mergeCell ref="B808:B809"/>
    <mergeCell ref="O808:O809"/>
    <mergeCell ref="A798:A801"/>
    <mergeCell ref="B798:B801"/>
    <mergeCell ref="O798:O801"/>
    <mergeCell ref="O802:O803"/>
    <mergeCell ref="A816:A828"/>
    <mergeCell ref="B816:B828"/>
    <mergeCell ref="C816:C828"/>
    <mergeCell ref="A829:A841"/>
    <mergeCell ref="B829:B841"/>
    <mergeCell ref="C829:C841"/>
    <mergeCell ref="A810:A812"/>
    <mergeCell ref="B810:B812"/>
    <mergeCell ref="O810:O812"/>
    <mergeCell ref="A813:A815"/>
    <mergeCell ref="B813:B815"/>
    <mergeCell ref="O813:O815"/>
    <mergeCell ref="B802:B805"/>
    <mergeCell ref="A802:A805"/>
    <mergeCell ref="A848:A849"/>
    <mergeCell ref="B848:B849"/>
    <mergeCell ref="C848:C849"/>
    <mergeCell ref="L848:L849"/>
    <mergeCell ref="N848:N851"/>
    <mergeCell ref="O848:O849"/>
    <mergeCell ref="A842:A847"/>
    <mergeCell ref="B842:B847"/>
    <mergeCell ref="C842:C847"/>
    <mergeCell ref="L842:L846"/>
    <mergeCell ref="N842:N846"/>
    <mergeCell ref="O842:O846"/>
    <mergeCell ref="A852:A864"/>
    <mergeCell ref="B852:B864"/>
    <mergeCell ref="O852:O864"/>
    <mergeCell ref="C854:C859"/>
    <mergeCell ref="C860:C864"/>
    <mergeCell ref="A865:A877"/>
    <mergeCell ref="B865:B877"/>
    <mergeCell ref="C865:C877"/>
    <mergeCell ref="O865:O877"/>
    <mergeCell ref="A904:A916"/>
    <mergeCell ref="B904:B916"/>
    <mergeCell ref="C904:C916"/>
    <mergeCell ref="A917:A929"/>
    <mergeCell ref="B917:B929"/>
    <mergeCell ref="O917:O929"/>
    <mergeCell ref="C919:C924"/>
    <mergeCell ref="C925:C929"/>
    <mergeCell ref="A878:A890"/>
    <mergeCell ref="B878:B890"/>
    <mergeCell ref="C878:C890"/>
    <mergeCell ref="A891:A903"/>
    <mergeCell ref="B891:B903"/>
    <mergeCell ref="O891:O903"/>
    <mergeCell ref="C893:C898"/>
    <mergeCell ref="C899:C903"/>
    <mergeCell ref="A956:A968"/>
    <mergeCell ref="B956:B968"/>
    <mergeCell ref="A969:A981"/>
    <mergeCell ref="B969:B981"/>
    <mergeCell ref="C969:C981"/>
    <mergeCell ref="O969:O981"/>
    <mergeCell ref="A930:A942"/>
    <mergeCell ref="B930:B942"/>
    <mergeCell ref="A943:A955"/>
    <mergeCell ref="B943:B955"/>
    <mergeCell ref="O943:O955"/>
    <mergeCell ref="C945:C950"/>
    <mergeCell ref="C951:C955"/>
    <mergeCell ref="C932:C937"/>
    <mergeCell ref="C939:C942"/>
    <mergeCell ref="O1020:O1032"/>
    <mergeCell ref="B1022:B1032"/>
    <mergeCell ref="C1028:C1032"/>
    <mergeCell ref="A982:A994"/>
    <mergeCell ref="B982:B994"/>
    <mergeCell ref="A995:A1007"/>
    <mergeCell ref="B995:B1007"/>
    <mergeCell ref="O995:O1007"/>
    <mergeCell ref="C996:C1002"/>
    <mergeCell ref="C1003:C1007"/>
    <mergeCell ref="B1089:B1090"/>
    <mergeCell ref="C1079:C1104"/>
    <mergeCell ref="A1033:A1045"/>
    <mergeCell ref="B1033:B1045"/>
    <mergeCell ref="C1042:C1045"/>
    <mergeCell ref="A1046:A1049"/>
    <mergeCell ref="B1046:B1049"/>
    <mergeCell ref="C1046:C1052"/>
    <mergeCell ref="A1008:A1011"/>
    <mergeCell ref="B1008:B1019"/>
    <mergeCell ref="C1009:C1014"/>
    <mergeCell ref="C1015:C1019"/>
    <mergeCell ref="A1020:A1021"/>
    <mergeCell ref="B1020:B1021"/>
    <mergeCell ref="C1021:C1027"/>
    <mergeCell ref="B1105:B1108"/>
    <mergeCell ref="A1105:A1108"/>
    <mergeCell ref="A1079:A1080"/>
    <mergeCell ref="B1079:B1080"/>
    <mergeCell ref="A1103:A1104"/>
    <mergeCell ref="B1103:B1104"/>
    <mergeCell ref="A1073:A1074"/>
    <mergeCell ref="B1073:B1074"/>
    <mergeCell ref="A1075:A1076"/>
    <mergeCell ref="B1075:B1076"/>
    <mergeCell ref="A1077:A1078"/>
    <mergeCell ref="B1077:B1078"/>
    <mergeCell ref="A1097:A1098"/>
    <mergeCell ref="B1097:B1098"/>
    <mergeCell ref="A1099:A1100"/>
    <mergeCell ref="B1099:B1100"/>
    <mergeCell ref="A1101:A1102"/>
    <mergeCell ref="B1101:B1102"/>
    <mergeCell ref="A1091:A1092"/>
    <mergeCell ref="B1091:B1092"/>
    <mergeCell ref="A1093:A1094"/>
    <mergeCell ref="B1093:B1094"/>
    <mergeCell ref="A1095:A1096"/>
    <mergeCell ref="B1095:B1096"/>
    <mergeCell ref="C1152:C1164"/>
    <mergeCell ref="A1165:A1176"/>
    <mergeCell ref="B1165:B1176"/>
    <mergeCell ref="A1109:A1117"/>
    <mergeCell ref="B1109:B1117"/>
    <mergeCell ref="O1109:O1151"/>
    <mergeCell ref="A1118:A1126"/>
    <mergeCell ref="B1118:B1126"/>
    <mergeCell ref="A1135:A1143"/>
    <mergeCell ref="B1135:B1143"/>
    <mergeCell ref="O1165:O1176"/>
    <mergeCell ref="C1166:C1171"/>
    <mergeCell ref="C1172:C1176"/>
    <mergeCell ref="B1152:B1164"/>
    <mergeCell ref="C1109:C1117"/>
    <mergeCell ref="O1079:O1090"/>
    <mergeCell ref="A1081:A1086"/>
    <mergeCell ref="B1081:B1086"/>
    <mergeCell ref="A1087:A1088"/>
    <mergeCell ref="B1087:B1088"/>
    <mergeCell ref="A1089:A1090"/>
    <mergeCell ref="B310:B311"/>
    <mergeCell ref="A310:A311"/>
    <mergeCell ref="C310:C311"/>
    <mergeCell ref="B312:B316"/>
    <mergeCell ref="A398:A399"/>
    <mergeCell ref="O398:O399"/>
    <mergeCell ref="A710:A713"/>
    <mergeCell ref="B705:B707"/>
    <mergeCell ref="O1046:O1078"/>
    <mergeCell ref="A1053:A1060"/>
    <mergeCell ref="B1053:B1060"/>
    <mergeCell ref="C1053:C1060"/>
    <mergeCell ref="C1061:C1065"/>
    <mergeCell ref="A1066:A1070"/>
    <mergeCell ref="B1066:B1070"/>
    <mergeCell ref="C1066:C1078"/>
    <mergeCell ref="A1071:A1072"/>
    <mergeCell ref="B1071:B1072"/>
    <mergeCell ref="I1208:J1208"/>
    <mergeCell ref="A1180:A1191"/>
    <mergeCell ref="B1180:B1191"/>
    <mergeCell ref="O1180:O1205"/>
    <mergeCell ref="A1192:A1193"/>
    <mergeCell ref="B1192:B1193"/>
    <mergeCell ref="A1194:A1205"/>
    <mergeCell ref="B1194:B1200"/>
    <mergeCell ref="C1201:C1205"/>
    <mergeCell ref="C1180:C1200"/>
    <mergeCell ref="B1206:B1207"/>
    <mergeCell ref="A1206:A1207"/>
    <mergeCell ref="C1206:C1207"/>
    <mergeCell ref="O1177:O1179"/>
    <mergeCell ref="A1178:A1179"/>
    <mergeCell ref="B1178:B1179"/>
    <mergeCell ref="L1135:L1143"/>
    <mergeCell ref="A1152:A1164"/>
    <mergeCell ref="C128:C130"/>
    <mergeCell ref="B242:B243"/>
    <mergeCell ref="C242:C243"/>
    <mergeCell ref="A242:A243"/>
    <mergeCell ref="A244:A245"/>
    <mergeCell ref="C255:C258"/>
    <mergeCell ref="B255:B262"/>
    <mergeCell ref="A255:A258"/>
    <mergeCell ref="A251:A254"/>
    <mergeCell ref="B251:B254"/>
    <mergeCell ref="C251:C254"/>
    <mergeCell ref="B244:B245"/>
    <mergeCell ref="A240:A241"/>
    <mergeCell ref="B240:B241"/>
    <mergeCell ref="C240:C241"/>
    <mergeCell ref="A498:A499"/>
    <mergeCell ref="A500:A505"/>
    <mergeCell ref="A708:A709"/>
    <mergeCell ref="B710:B713"/>
  </mergeCells>
  <pageMargins left="0.25" right="0.25" top="0.75" bottom="0.75" header="0.3" footer="0.3"/>
  <pageSetup paperSize="9" scale="55" fitToHeight="0" orientation="landscape" r:id="rId1"/>
  <headerFooter alignWithMargins="0">
    <oddFooter>Страница &amp;P</oddFooter>
  </headerFooter>
  <rowBreaks count="10" manualBreakCount="10">
    <brk id="250" max="41" man="1"/>
    <brk id="418" max="41" man="1"/>
    <brk id="452" max="41" man="1"/>
    <brk id="499" max="41" man="1"/>
    <brk id="586" max="41" man="1"/>
    <brk id="644" max="41" man="1"/>
    <brk id="742" max="41" man="1"/>
    <brk id="784" max="41" man="1"/>
    <brk id="1093" max="41" man="1"/>
    <brk id="1126" max="4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1440"/>
  <sheetViews>
    <sheetView tabSelected="1" view="pageBreakPreview" topLeftCell="A2" zoomScale="125" zoomScaleNormal="125" zoomScaleSheetLayoutView="125" workbookViewId="0">
      <pane xSplit="3" ySplit="7" topLeftCell="H1038" activePane="bottomRight" state="frozen"/>
      <selection activeCell="A2" sqref="A2"/>
      <selection pane="topRight" activeCell="D2" sqref="D2"/>
      <selection pane="bottomLeft" activeCell="A9" sqref="A9"/>
      <selection pane="bottomRight" activeCell="M2" sqref="M2:O2"/>
    </sheetView>
  </sheetViews>
  <sheetFormatPr defaultRowHeight="12.75" x14ac:dyDescent="0.2"/>
  <cols>
    <col min="1" max="1" width="7.5703125" style="83" customWidth="1"/>
    <col min="2" max="2" width="40.7109375" style="67" customWidth="1"/>
    <col min="3" max="3" width="33.42578125" style="67" customWidth="1"/>
    <col min="4" max="4" width="13.5703125" style="68" customWidth="1"/>
    <col min="5" max="5" width="18.140625" style="69" customWidth="1"/>
    <col min="6" max="6" width="13.42578125" style="69" customWidth="1"/>
    <col min="7" max="7" width="11.85546875" style="69" customWidth="1"/>
    <col min="8" max="8" width="11.28515625" style="69" customWidth="1"/>
    <col min="9" max="9" width="15.28515625" style="70" customWidth="1"/>
    <col min="10" max="10" width="14.42578125" style="70" customWidth="1"/>
    <col min="11" max="11" width="17.140625" style="70" hidden="1" customWidth="1"/>
    <col min="12" max="12" width="20.7109375" style="68" customWidth="1"/>
    <col min="13" max="13" width="14.85546875" style="85" customWidth="1"/>
    <col min="14" max="14" width="11.5703125" style="87" customWidth="1"/>
    <col min="15" max="15" width="23" style="48" customWidth="1"/>
    <col min="16" max="56" width="0" style="65" hidden="1" customWidth="1"/>
    <col min="57" max="136" width="0" style="85" hidden="1" customWidth="1"/>
    <col min="137" max="16384" width="9.140625" style="85"/>
  </cols>
  <sheetData>
    <row r="1" spans="1:57" ht="18.75" hidden="1" customHeight="1" x14ac:dyDescent="0.2">
      <c r="M1" s="925"/>
      <c r="N1" s="925"/>
      <c r="O1" s="925"/>
    </row>
    <row r="2" spans="1:57" ht="51" customHeight="1" x14ac:dyDescent="0.2">
      <c r="M2" s="972" t="s">
        <v>1125</v>
      </c>
      <c r="N2" s="972"/>
      <c r="O2" s="972"/>
    </row>
    <row r="3" spans="1:57" ht="12.75" customHeight="1" x14ac:dyDescent="0.2">
      <c r="A3" s="927" t="s">
        <v>601</v>
      </c>
      <c r="B3" s="927"/>
      <c r="C3" s="927"/>
      <c r="D3" s="927"/>
      <c r="E3" s="927"/>
      <c r="F3" s="927"/>
      <c r="G3" s="927"/>
      <c r="H3" s="927"/>
      <c r="I3" s="927"/>
      <c r="J3" s="927"/>
      <c r="K3" s="565"/>
      <c r="N3" s="86"/>
      <c r="O3" s="65"/>
    </row>
    <row r="4" spans="1:57" x14ac:dyDescent="0.2">
      <c r="A4" s="84"/>
      <c r="B4" s="71"/>
      <c r="C4" s="71"/>
      <c r="D4" s="72"/>
      <c r="E4" s="73"/>
      <c r="F4" s="73"/>
      <c r="G4" s="73"/>
      <c r="H4" s="928" t="s">
        <v>188</v>
      </c>
      <c r="I4" s="928"/>
      <c r="J4" s="928"/>
      <c r="K4" s="566"/>
      <c r="N4" s="86"/>
      <c r="O4" s="65"/>
    </row>
    <row r="5" spans="1:57" s="48" customFormat="1" x14ac:dyDescent="0.2">
      <c r="A5" s="665" t="s">
        <v>189</v>
      </c>
      <c r="B5" s="678" t="s">
        <v>180</v>
      </c>
      <c r="C5" s="631" t="s">
        <v>181</v>
      </c>
      <c r="D5" s="629" t="s">
        <v>191</v>
      </c>
      <c r="E5" s="929" t="s">
        <v>182</v>
      </c>
      <c r="F5" s="74" t="s">
        <v>193</v>
      </c>
      <c r="G5" s="75"/>
      <c r="H5" s="75"/>
      <c r="I5" s="75"/>
      <c r="J5" s="76"/>
      <c r="K5" s="76"/>
      <c r="L5" s="930" t="s">
        <v>956</v>
      </c>
      <c r="M5" s="862" t="s">
        <v>183</v>
      </c>
      <c r="N5" s="934" t="s">
        <v>184</v>
      </c>
      <c r="O5" s="862" t="s">
        <v>185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</row>
    <row r="6" spans="1:57" s="48" customFormat="1" ht="12.75" customHeight="1" x14ac:dyDescent="0.2">
      <c r="A6" s="665"/>
      <c r="B6" s="678"/>
      <c r="C6" s="648"/>
      <c r="D6" s="629"/>
      <c r="E6" s="929"/>
      <c r="F6" s="77"/>
      <c r="G6" s="78"/>
      <c r="H6" s="78"/>
      <c r="I6" s="78"/>
      <c r="J6" s="79"/>
      <c r="K6" s="574"/>
      <c r="L6" s="931"/>
      <c r="M6" s="863"/>
      <c r="N6" s="935"/>
      <c r="O6" s="863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</row>
    <row r="7" spans="1:57" s="48" customFormat="1" ht="12.75" customHeight="1" x14ac:dyDescent="0.2">
      <c r="A7" s="665"/>
      <c r="B7" s="678"/>
      <c r="C7" s="648"/>
      <c r="D7" s="629"/>
      <c r="E7" s="929"/>
      <c r="F7" s="929" t="s">
        <v>194</v>
      </c>
      <c r="G7" s="937" t="s">
        <v>195</v>
      </c>
      <c r="H7" s="938"/>
      <c r="I7" s="938"/>
      <c r="J7" s="80"/>
      <c r="K7" s="574"/>
      <c r="L7" s="931"/>
      <c r="M7" s="863"/>
      <c r="N7" s="935"/>
      <c r="O7" s="863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</row>
    <row r="8" spans="1:57" s="48" customFormat="1" ht="25.5" x14ac:dyDescent="0.2">
      <c r="A8" s="665"/>
      <c r="B8" s="678"/>
      <c r="C8" s="632"/>
      <c r="D8" s="629"/>
      <c r="E8" s="929"/>
      <c r="F8" s="929"/>
      <c r="G8" s="567" t="s">
        <v>1</v>
      </c>
      <c r="H8" s="567" t="s">
        <v>2</v>
      </c>
      <c r="I8" s="567" t="s">
        <v>196</v>
      </c>
      <c r="J8" s="567" t="s">
        <v>3</v>
      </c>
      <c r="K8" s="494"/>
      <c r="L8" s="932"/>
      <c r="M8" s="778"/>
      <c r="N8" s="936"/>
      <c r="O8" s="778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</row>
    <row r="9" spans="1:57" s="90" customFormat="1" ht="29.25" customHeight="1" x14ac:dyDescent="0.2">
      <c r="A9" s="697"/>
      <c r="B9" s="933" t="s">
        <v>186</v>
      </c>
      <c r="C9" s="933"/>
      <c r="D9" s="46" t="s">
        <v>198</v>
      </c>
      <c r="E9" s="47">
        <f>E10+E11+E12+E13+E14+E15+E16+E17+E18+E19+E20+E21</f>
        <v>133739.29697718783</v>
      </c>
      <c r="F9" s="47">
        <f t="shared" ref="F9:J9" si="0">F10+F11+F12+F13+F14+F15+F16+F17+F18+F19+F20+F21</f>
        <v>2637.0125071878674</v>
      </c>
      <c r="G9" s="47">
        <f t="shared" si="0"/>
        <v>412.29630000000003</v>
      </c>
      <c r="H9" s="47">
        <f t="shared" si="0"/>
        <v>4529.4064699999999</v>
      </c>
      <c r="I9" s="47">
        <f t="shared" si="0"/>
        <v>125994.7049</v>
      </c>
      <c r="J9" s="47">
        <f t="shared" si="0"/>
        <v>165.87680000000006</v>
      </c>
      <c r="K9" s="52">
        <f>F9+G9+H9+I9+J9</f>
        <v>133739.29697718786</v>
      </c>
      <c r="L9" s="575"/>
      <c r="M9" s="50"/>
      <c r="N9" s="51"/>
      <c r="O9" s="49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</row>
    <row r="10" spans="1:57" s="90" customFormat="1" ht="13.5" customHeight="1" x14ac:dyDescent="0.2">
      <c r="A10" s="717"/>
      <c r="B10" s="701"/>
      <c r="C10" s="701"/>
      <c r="D10" s="46">
        <v>2019</v>
      </c>
      <c r="E10" s="47">
        <f t="shared" ref="E10:J10" si="1">E23+E76+E269+E289+E376+E416+E443+E469+E529+E569+E706+E728+E769+E830+E996+E1047+E1123+E1174</f>
        <v>30229.214669999994</v>
      </c>
      <c r="F10" s="47">
        <f t="shared" si="1"/>
        <v>253.12636999999998</v>
      </c>
      <c r="G10" s="47">
        <f t="shared" si="1"/>
        <v>106.88159999999999</v>
      </c>
      <c r="H10" s="47">
        <f t="shared" si="1"/>
        <v>965.55240000000003</v>
      </c>
      <c r="I10" s="47">
        <f t="shared" si="1"/>
        <v>28875.748500000002</v>
      </c>
      <c r="J10" s="47">
        <f t="shared" si="1"/>
        <v>27.905799999999999</v>
      </c>
      <c r="K10" s="52">
        <f t="shared" ref="K10:K73" si="2">F10+G10+H10+I10+J10</f>
        <v>30229.214670000001</v>
      </c>
      <c r="L10" s="468"/>
      <c r="M10" s="50"/>
      <c r="N10" s="51"/>
      <c r="O10" s="49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</row>
    <row r="11" spans="1:57" s="90" customFormat="1" ht="13.5" customHeight="1" x14ac:dyDescent="0.2">
      <c r="A11" s="717"/>
      <c r="B11" s="701"/>
      <c r="C11" s="701"/>
      <c r="D11" s="46">
        <v>2020</v>
      </c>
      <c r="E11" s="47">
        <f t="shared" ref="E11:J11" si="3">E24+E77+E270+E290+E417+E444+E470+E530+E555+E570+E707+E729+E770+E831+E971+E997+E1048+E1124+E1175+E1202+E377</f>
        <v>47550.542246000012</v>
      </c>
      <c r="F11" s="47">
        <f t="shared" si="3"/>
        <v>235.67344599999998</v>
      </c>
      <c r="G11" s="47">
        <f t="shared" si="3"/>
        <v>172.37690000000001</v>
      </c>
      <c r="H11" s="47">
        <f t="shared" si="3"/>
        <v>1404.4751999999996</v>
      </c>
      <c r="I11" s="47">
        <f t="shared" si="3"/>
        <v>45722.347399999999</v>
      </c>
      <c r="J11" s="47">
        <f t="shared" si="3"/>
        <v>15.669300000000002</v>
      </c>
      <c r="K11" s="52">
        <f t="shared" si="2"/>
        <v>47550.542245999997</v>
      </c>
      <c r="L11" s="468"/>
      <c r="M11" s="50"/>
      <c r="N11" s="51"/>
      <c r="O11" s="49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9"/>
    </row>
    <row r="12" spans="1:57" s="90" customFormat="1" ht="13.5" customHeight="1" x14ac:dyDescent="0.2">
      <c r="A12" s="717"/>
      <c r="B12" s="701"/>
      <c r="C12" s="701"/>
      <c r="D12" s="46">
        <v>2021</v>
      </c>
      <c r="E12" s="47">
        <f t="shared" ref="E12:J12" si="4">E25+E78+E271+E291+E378+E418+E445+E471+E531+E556+E571+E708+E730+E771+E832+E972+E998+E1049+E1125+E1176+E1203</f>
        <v>30838.518829999994</v>
      </c>
      <c r="F12" s="47">
        <f t="shared" si="4"/>
        <v>191.28682999999998</v>
      </c>
      <c r="G12" s="47">
        <f t="shared" si="4"/>
        <v>132.74589999999998</v>
      </c>
      <c r="H12" s="47">
        <f t="shared" si="4"/>
        <v>490.50639999999993</v>
      </c>
      <c r="I12" s="47">
        <f t="shared" si="4"/>
        <v>30004.428899999999</v>
      </c>
      <c r="J12" s="47">
        <f t="shared" si="4"/>
        <v>19.550800000000002</v>
      </c>
      <c r="K12" s="52">
        <f t="shared" si="2"/>
        <v>30838.518830000001</v>
      </c>
      <c r="L12" s="468"/>
      <c r="M12" s="50"/>
      <c r="N12" s="51"/>
      <c r="O12" s="49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</row>
    <row r="13" spans="1:57" s="90" customFormat="1" ht="13.5" customHeight="1" x14ac:dyDescent="0.2">
      <c r="A13" s="717"/>
      <c r="B13" s="701"/>
      <c r="C13" s="701"/>
      <c r="D13" s="46">
        <v>2022</v>
      </c>
      <c r="E13" s="47">
        <f>E26+E79+E292+E379+E419+E446+E532+E557+E572+E731+E772+E833+E973+E999+E1050+E1126+E472+E272+E709+E1204</f>
        <v>17155.499469999995</v>
      </c>
      <c r="F13" s="47">
        <f t="shared" ref="F13:J13" si="5">F26+F79+F292+F379+F419+F446+F532+F557+F572+F731+F772+F833+F973+F999+F1050+F1126+F472+F272+F709+F1204</f>
        <v>176.68356999999997</v>
      </c>
      <c r="G13" s="47">
        <f t="shared" si="5"/>
        <v>0.29189999999999999</v>
      </c>
      <c r="H13" s="47">
        <f t="shared" si="5"/>
        <v>123.14949999999999</v>
      </c>
      <c r="I13" s="47">
        <f t="shared" si="5"/>
        <v>16854.069500000001</v>
      </c>
      <c r="J13" s="47">
        <f t="shared" si="5"/>
        <v>1.3049999999999999</v>
      </c>
      <c r="K13" s="52">
        <f t="shared" si="2"/>
        <v>17155.499470000002</v>
      </c>
      <c r="L13" s="468"/>
      <c r="M13" s="50"/>
      <c r="N13" s="51"/>
      <c r="O13" s="49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</row>
    <row r="14" spans="1:57" s="90" customFormat="1" ht="13.5" customHeight="1" x14ac:dyDescent="0.2">
      <c r="A14" s="717"/>
      <c r="B14" s="701"/>
      <c r="C14" s="701"/>
      <c r="D14" s="46">
        <v>2023</v>
      </c>
      <c r="E14" s="47">
        <f>E27+E80+E293+E380+E420+E447+E533+E558+E573+E732+E834+E974+E1000+E1127+E1178+E473+E273+E773+E1051+E1205</f>
        <v>4835.1329100000003</v>
      </c>
      <c r="F14" s="47">
        <f t="shared" ref="F14:J14" si="6">F27+F80+F293+F380+F420+F447+F533+F558+F573+F732+F834+F974+F1000+F1127+F1178+F473+F273+F773+F1051+F1205</f>
        <v>191.71481</v>
      </c>
      <c r="G14" s="47">
        <f t="shared" si="6"/>
        <v>0</v>
      </c>
      <c r="H14" s="47">
        <f t="shared" si="6"/>
        <v>269.36300000000006</v>
      </c>
      <c r="I14" s="47">
        <f t="shared" si="6"/>
        <v>4356.0378999999994</v>
      </c>
      <c r="J14" s="47">
        <f t="shared" si="6"/>
        <v>18.017200000000003</v>
      </c>
      <c r="K14" s="52">
        <f t="shared" si="2"/>
        <v>4835.1329099999994</v>
      </c>
      <c r="L14" s="468"/>
      <c r="M14" s="50"/>
      <c r="N14" s="51"/>
      <c r="O14" s="49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9"/>
    </row>
    <row r="15" spans="1:57" s="90" customFormat="1" ht="13.5" customHeight="1" x14ac:dyDescent="0.2">
      <c r="A15" s="717"/>
      <c r="B15" s="701"/>
      <c r="C15" s="701"/>
      <c r="D15" s="46">
        <v>2024</v>
      </c>
      <c r="E15" s="47">
        <f t="shared" ref="E15:J15" si="7">E28+E81+E294+E381+E421+E448+E534+E574+E733+E835+E975+E1001+E1052+E1128+E1179+E474+E274+E1206</f>
        <v>491.3586699999999</v>
      </c>
      <c r="F15" s="47">
        <f t="shared" si="7"/>
        <v>195.73296999999997</v>
      </c>
      <c r="G15" s="47">
        <f t="shared" si="7"/>
        <v>0</v>
      </c>
      <c r="H15" s="47">
        <f t="shared" si="7"/>
        <v>209.79300000000001</v>
      </c>
      <c r="I15" s="47">
        <f t="shared" si="7"/>
        <v>74.896900000000002</v>
      </c>
      <c r="J15" s="47">
        <f t="shared" si="7"/>
        <v>10.9358</v>
      </c>
      <c r="K15" s="52">
        <f t="shared" si="2"/>
        <v>491.35866999999996</v>
      </c>
      <c r="L15" s="468"/>
      <c r="M15" s="50"/>
      <c r="N15" s="51"/>
      <c r="O15" s="49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9"/>
    </row>
    <row r="16" spans="1:57" s="90" customFormat="1" ht="13.5" customHeight="1" x14ac:dyDescent="0.2">
      <c r="A16" s="717"/>
      <c r="B16" s="701"/>
      <c r="C16" s="701"/>
      <c r="D16" s="46">
        <v>2025</v>
      </c>
      <c r="E16" s="47">
        <f t="shared" ref="E16:J16" si="8">E29+E82+E295+E382+E449+E535+E575+E734+E836+E976+E1002+E1053+E1129+E1180+E475+E275+E422+E1207</f>
        <v>386.62574999999998</v>
      </c>
      <c r="F16" s="47">
        <f t="shared" si="8"/>
        <v>189.00964999999997</v>
      </c>
      <c r="G16" s="47">
        <f t="shared" si="8"/>
        <v>0</v>
      </c>
      <c r="H16" s="47">
        <f t="shared" si="8"/>
        <v>151.27500000000001</v>
      </c>
      <c r="I16" s="47">
        <f t="shared" si="8"/>
        <v>30.337900000000001</v>
      </c>
      <c r="J16" s="47">
        <f t="shared" si="8"/>
        <v>16.0032</v>
      </c>
      <c r="K16" s="52">
        <f t="shared" si="2"/>
        <v>386.62574999999993</v>
      </c>
      <c r="L16" s="468"/>
      <c r="M16" s="50"/>
      <c r="N16" s="51"/>
      <c r="O16" s="49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</row>
    <row r="17" spans="1:57" s="90" customFormat="1" ht="13.5" customHeight="1" x14ac:dyDescent="0.2">
      <c r="A17" s="717"/>
      <c r="B17" s="701"/>
      <c r="C17" s="701"/>
      <c r="D17" s="46">
        <v>2026</v>
      </c>
      <c r="E17" s="47">
        <f t="shared" ref="E17:J17" si="9">E30+E83+E296+E450+E536+E576+E735+E774+E837+E977+E1003+E1054+E1130+E1181+E1208</f>
        <v>551.59176079999997</v>
      </c>
      <c r="F17" s="47">
        <f t="shared" si="9"/>
        <v>265.71566080000002</v>
      </c>
      <c r="G17" s="47">
        <f t="shared" si="9"/>
        <v>0</v>
      </c>
      <c r="H17" s="47">
        <f t="shared" si="9"/>
        <v>226.56</v>
      </c>
      <c r="I17" s="47">
        <f t="shared" si="9"/>
        <v>43.837900000000005</v>
      </c>
      <c r="J17" s="47">
        <f t="shared" si="9"/>
        <v>15.478200000000001</v>
      </c>
      <c r="K17" s="52">
        <f t="shared" si="2"/>
        <v>551.59176080000009</v>
      </c>
      <c r="L17" s="468"/>
      <c r="M17" s="50"/>
      <c r="N17" s="51"/>
      <c r="O17" s="49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9"/>
    </row>
    <row r="18" spans="1:57" s="90" customFormat="1" ht="13.5" customHeight="1" x14ac:dyDescent="0.2">
      <c r="A18" s="717"/>
      <c r="B18" s="701"/>
      <c r="C18" s="701"/>
      <c r="D18" s="46">
        <v>2027</v>
      </c>
      <c r="E18" s="47">
        <f>E31+E84+E297+E383+E451+E537+E577+E736+E838+E978+E1004+E1182+E1055+E1209</f>
        <v>678.43642723199991</v>
      </c>
      <c r="F18" s="47">
        <f t="shared" ref="F18:J18" si="10">F31+F84+F297+F383+F451+F537+F577+F736+F838+F978+F1004+F1182+F1055+F1209</f>
        <v>185.58512723199999</v>
      </c>
      <c r="G18" s="47">
        <f t="shared" si="10"/>
        <v>0</v>
      </c>
      <c r="H18" s="47">
        <f t="shared" si="10"/>
        <v>464.33939999999996</v>
      </c>
      <c r="I18" s="47">
        <f t="shared" si="10"/>
        <v>18</v>
      </c>
      <c r="J18" s="47">
        <f t="shared" si="10"/>
        <v>10.511900000000001</v>
      </c>
      <c r="K18" s="52">
        <f t="shared" si="2"/>
        <v>678.43642723199991</v>
      </c>
      <c r="L18" s="468"/>
      <c r="M18" s="50"/>
      <c r="N18" s="51"/>
      <c r="O18" s="49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9"/>
    </row>
    <row r="19" spans="1:57" s="90" customFormat="1" ht="13.5" customHeight="1" x14ac:dyDescent="0.2">
      <c r="A19" s="717"/>
      <c r="B19" s="701"/>
      <c r="C19" s="701"/>
      <c r="D19" s="46">
        <v>2028</v>
      </c>
      <c r="E19" s="47">
        <f t="shared" ref="E19:J19" si="11">E32+E85+E298+E452+E538+E578+E737+E839+E979+E1005+E1056+E1183+E1210</f>
        <v>364.66724592127997</v>
      </c>
      <c r="F19" s="47">
        <f t="shared" si="11"/>
        <v>196.23147592128001</v>
      </c>
      <c r="G19" s="47">
        <f t="shared" si="11"/>
        <v>0</v>
      </c>
      <c r="H19" s="47">
        <f t="shared" si="11"/>
        <v>158.95756999999998</v>
      </c>
      <c r="I19" s="47">
        <f t="shared" si="11"/>
        <v>0</v>
      </c>
      <c r="J19" s="47">
        <f t="shared" si="11"/>
        <v>9.4782000000000011</v>
      </c>
      <c r="K19" s="52">
        <f t="shared" si="2"/>
        <v>364.66724592128003</v>
      </c>
      <c r="L19" s="468"/>
      <c r="M19" s="50"/>
      <c r="N19" s="51"/>
      <c r="O19" s="49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9"/>
    </row>
    <row r="20" spans="1:57" s="90" customFormat="1" ht="13.5" customHeight="1" x14ac:dyDescent="0.2">
      <c r="A20" s="717"/>
      <c r="B20" s="701"/>
      <c r="C20" s="701"/>
      <c r="D20" s="46">
        <v>2029</v>
      </c>
      <c r="E20" s="47">
        <f t="shared" ref="E20:J20" si="12">E33+E299+E384+E453+E539+E579+E738+E840+E980+E1006+E1184+E1057+E1211</f>
        <v>336.83736295813117</v>
      </c>
      <c r="F20" s="47">
        <f t="shared" si="12"/>
        <v>274.85916295813115</v>
      </c>
      <c r="G20" s="47">
        <f t="shared" si="12"/>
        <v>0</v>
      </c>
      <c r="H20" s="47">
        <f t="shared" si="12"/>
        <v>50.435000000000002</v>
      </c>
      <c r="I20" s="47">
        <f t="shared" si="12"/>
        <v>0</v>
      </c>
      <c r="J20" s="47">
        <f t="shared" si="12"/>
        <v>11.543200000000001</v>
      </c>
      <c r="K20" s="52">
        <f t="shared" si="2"/>
        <v>336.83736295813117</v>
      </c>
      <c r="L20" s="468"/>
      <c r="M20" s="50"/>
      <c r="N20" s="51"/>
      <c r="O20" s="49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9"/>
    </row>
    <row r="21" spans="1:57" s="90" customFormat="1" ht="13.5" customHeight="1" x14ac:dyDescent="0.2">
      <c r="A21" s="734"/>
      <c r="B21" s="702"/>
      <c r="C21" s="702"/>
      <c r="D21" s="46">
        <v>2030</v>
      </c>
      <c r="E21" s="47">
        <f t="shared" ref="E21:J21" si="13">E34+E87+E300+E454+E540+E580+E739+E775+E841+E981+E1007+E1185+E1058+E1212</f>
        <v>320.87163427645646</v>
      </c>
      <c r="F21" s="47">
        <f t="shared" si="13"/>
        <v>281.39343427645645</v>
      </c>
      <c r="G21" s="47">
        <f t="shared" si="13"/>
        <v>0</v>
      </c>
      <c r="H21" s="47">
        <f t="shared" si="13"/>
        <v>15</v>
      </c>
      <c r="I21" s="47">
        <f t="shared" si="13"/>
        <v>15</v>
      </c>
      <c r="J21" s="47">
        <f t="shared" si="13"/>
        <v>9.4782000000000011</v>
      </c>
      <c r="K21" s="52">
        <f t="shared" si="2"/>
        <v>320.87163427645646</v>
      </c>
      <c r="L21" s="468"/>
      <c r="M21" s="50"/>
      <c r="N21" s="51"/>
      <c r="O21" s="49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9"/>
    </row>
    <row r="22" spans="1:57" s="90" customFormat="1" ht="15.75" x14ac:dyDescent="0.2">
      <c r="A22" s="482">
        <v>1</v>
      </c>
      <c r="B22" s="480" t="s">
        <v>602</v>
      </c>
      <c r="C22" s="499"/>
      <c r="D22" s="46" t="s">
        <v>198</v>
      </c>
      <c r="E22" s="47">
        <f>E23+E24+E25+E26+E27+E28+E29+E30+E31+E32+E33+E34</f>
        <v>35.498799999999996</v>
      </c>
      <c r="F22" s="47">
        <f t="shared" ref="F22:J22" si="14">F23+F24+F25+F26+F27+F28+F29+F30+F31+F32+F33+F34</f>
        <v>35.498799999999996</v>
      </c>
      <c r="G22" s="47">
        <f t="shared" si="14"/>
        <v>0</v>
      </c>
      <c r="H22" s="47">
        <f t="shared" si="14"/>
        <v>0</v>
      </c>
      <c r="I22" s="47">
        <f t="shared" si="14"/>
        <v>0</v>
      </c>
      <c r="J22" s="47">
        <f t="shared" si="14"/>
        <v>0</v>
      </c>
      <c r="K22" s="52">
        <f t="shared" si="2"/>
        <v>35.498799999999996</v>
      </c>
      <c r="L22" s="52"/>
      <c r="M22" s="50"/>
      <c r="N22" s="51"/>
      <c r="O22" s="26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9"/>
    </row>
    <row r="23" spans="1:57" s="90" customFormat="1" ht="13.5" customHeight="1" x14ac:dyDescent="0.2">
      <c r="A23" s="203"/>
      <c r="B23" s="204"/>
      <c r="C23" s="499"/>
      <c r="D23" s="470">
        <v>2019</v>
      </c>
      <c r="E23" s="567">
        <f t="shared" ref="E23:J34" si="15">E37+E50+E63</f>
        <v>2.4135999999999997</v>
      </c>
      <c r="F23" s="567">
        <f t="shared" si="15"/>
        <v>2.4135999999999997</v>
      </c>
      <c r="G23" s="567">
        <f t="shared" si="15"/>
        <v>0</v>
      </c>
      <c r="H23" s="567">
        <f t="shared" si="15"/>
        <v>0</v>
      </c>
      <c r="I23" s="567">
        <f t="shared" si="15"/>
        <v>0</v>
      </c>
      <c r="J23" s="567">
        <f t="shared" si="15"/>
        <v>0</v>
      </c>
      <c r="K23" s="52">
        <f t="shared" si="2"/>
        <v>2.4135999999999997</v>
      </c>
      <c r="L23" s="52"/>
      <c r="M23" s="50"/>
      <c r="N23" s="51"/>
      <c r="O23" s="26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9"/>
    </row>
    <row r="24" spans="1:57" s="90" customFormat="1" ht="13.5" customHeight="1" x14ac:dyDescent="0.2">
      <c r="A24" s="203"/>
      <c r="B24" s="204"/>
      <c r="C24" s="499"/>
      <c r="D24" s="470">
        <v>2020</v>
      </c>
      <c r="E24" s="567">
        <f t="shared" si="15"/>
        <v>1.4824000000000002</v>
      </c>
      <c r="F24" s="567">
        <f t="shared" si="15"/>
        <v>1.4824000000000002</v>
      </c>
      <c r="G24" s="567">
        <f t="shared" si="15"/>
        <v>0</v>
      </c>
      <c r="H24" s="567">
        <f t="shared" si="15"/>
        <v>0</v>
      </c>
      <c r="I24" s="567">
        <f t="shared" si="15"/>
        <v>0</v>
      </c>
      <c r="J24" s="567">
        <f t="shared" si="15"/>
        <v>0</v>
      </c>
      <c r="K24" s="52">
        <f t="shared" si="2"/>
        <v>1.4824000000000002</v>
      </c>
      <c r="L24" s="52"/>
      <c r="M24" s="50"/>
      <c r="N24" s="51"/>
      <c r="O24" s="26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9"/>
    </row>
    <row r="25" spans="1:57" s="90" customFormat="1" ht="13.5" customHeight="1" x14ac:dyDescent="0.2">
      <c r="A25" s="203"/>
      <c r="B25" s="204"/>
      <c r="C25" s="499"/>
      <c r="D25" s="470">
        <v>2021</v>
      </c>
      <c r="E25" s="567">
        <f t="shared" si="15"/>
        <v>2.6947999999999999</v>
      </c>
      <c r="F25" s="567">
        <f t="shared" si="15"/>
        <v>2.6947999999999999</v>
      </c>
      <c r="G25" s="567">
        <f t="shared" si="15"/>
        <v>0</v>
      </c>
      <c r="H25" s="567">
        <f t="shared" si="15"/>
        <v>0</v>
      </c>
      <c r="I25" s="567">
        <f t="shared" si="15"/>
        <v>0</v>
      </c>
      <c r="J25" s="567">
        <f t="shared" si="15"/>
        <v>0</v>
      </c>
      <c r="K25" s="52">
        <f t="shared" si="2"/>
        <v>2.6947999999999999</v>
      </c>
      <c r="L25" s="52"/>
      <c r="M25" s="50"/>
      <c r="N25" s="51"/>
      <c r="O25" s="26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</row>
    <row r="26" spans="1:57" s="90" customFormat="1" ht="13.5" customHeight="1" x14ac:dyDescent="0.2">
      <c r="A26" s="203"/>
      <c r="B26" s="204"/>
      <c r="C26" s="499"/>
      <c r="D26" s="470">
        <v>2022</v>
      </c>
      <c r="E26" s="567">
        <f t="shared" si="15"/>
        <v>2.6949000000000001</v>
      </c>
      <c r="F26" s="567">
        <f t="shared" si="15"/>
        <v>2.6949000000000001</v>
      </c>
      <c r="G26" s="567">
        <f t="shared" si="15"/>
        <v>0</v>
      </c>
      <c r="H26" s="567">
        <f t="shared" si="15"/>
        <v>0</v>
      </c>
      <c r="I26" s="567">
        <f t="shared" si="15"/>
        <v>0</v>
      </c>
      <c r="J26" s="567">
        <f t="shared" si="15"/>
        <v>0</v>
      </c>
      <c r="K26" s="52">
        <f t="shared" si="2"/>
        <v>2.6949000000000001</v>
      </c>
      <c r="L26" s="52"/>
      <c r="M26" s="50"/>
      <c r="N26" s="51"/>
      <c r="O26" s="26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9"/>
    </row>
    <row r="27" spans="1:57" s="90" customFormat="1" ht="13.5" customHeight="1" x14ac:dyDescent="0.2">
      <c r="A27" s="203"/>
      <c r="B27" s="204"/>
      <c r="C27" s="499"/>
      <c r="D27" s="470">
        <v>2023</v>
      </c>
      <c r="E27" s="567">
        <f>E41+E54+E67</f>
        <v>5.4606000000000003</v>
      </c>
      <c r="F27" s="567">
        <f t="shared" si="15"/>
        <v>5.4606000000000003</v>
      </c>
      <c r="G27" s="567">
        <f t="shared" si="15"/>
        <v>0</v>
      </c>
      <c r="H27" s="567">
        <f t="shared" si="15"/>
        <v>0</v>
      </c>
      <c r="I27" s="567">
        <f t="shared" si="15"/>
        <v>0</v>
      </c>
      <c r="J27" s="567">
        <f t="shared" si="15"/>
        <v>0</v>
      </c>
      <c r="K27" s="52">
        <f t="shared" si="2"/>
        <v>5.4606000000000003</v>
      </c>
      <c r="L27" s="52"/>
      <c r="M27" s="50"/>
      <c r="N27" s="51"/>
      <c r="O27" s="26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9"/>
    </row>
    <row r="28" spans="1:57" s="90" customFormat="1" ht="13.5" customHeight="1" x14ac:dyDescent="0.2">
      <c r="A28" s="203"/>
      <c r="B28" s="204"/>
      <c r="C28" s="499"/>
      <c r="D28" s="470">
        <v>2024</v>
      </c>
      <c r="E28" s="567">
        <f>E42+E55+E68</f>
        <v>5.6774999999999993</v>
      </c>
      <c r="F28" s="567">
        <f t="shared" si="15"/>
        <v>5.6774999999999993</v>
      </c>
      <c r="G28" s="567">
        <f t="shared" si="15"/>
        <v>0</v>
      </c>
      <c r="H28" s="567">
        <f t="shared" si="15"/>
        <v>0</v>
      </c>
      <c r="I28" s="567">
        <f t="shared" si="15"/>
        <v>0</v>
      </c>
      <c r="J28" s="567">
        <f t="shared" si="15"/>
        <v>0</v>
      </c>
      <c r="K28" s="52">
        <f t="shared" si="2"/>
        <v>5.6774999999999993</v>
      </c>
      <c r="L28" s="52"/>
      <c r="M28" s="50"/>
      <c r="N28" s="51"/>
      <c r="O28" s="26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9"/>
    </row>
    <row r="29" spans="1:57" s="90" customFormat="1" ht="13.5" customHeight="1" x14ac:dyDescent="0.2">
      <c r="A29" s="203"/>
      <c r="B29" s="204"/>
      <c r="C29" s="499"/>
      <c r="D29" s="470">
        <v>2025</v>
      </c>
      <c r="E29" s="567">
        <f t="shared" si="15"/>
        <v>5.7424999999999997</v>
      </c>
      <c r="F29" s="567">
        <f t="shared" si="15"/>
        <v>5.7424999999999997</v>
      </c>
      <c r="G29" s="567">
        <f t="shared" si="15"/>
        <v>0</v>
      </c>
      <c r="H29" s="567">
        <f t="shared" si="15"/>
        <v>0</v>
      </c>
      <c r="I29" s="567">
        <f t="shared" si="15"/>
        <v>0</v>
      </c>
      <c r="J29" s="567">
        <f t="shared" si="15"/>
        <v>0</v>
      </c>
      <c r="K29" s="52">
        <f t="shared" si="2"/>
        <v>5.7424999999999997</v>
      </c>
      <c r="L29" s="52"/>
      <c r="M29" s="50"/>
      <c r="N29" s="51"/>
      <c r="O29" s="26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9"/>
    </row>
    <row r="30" spans="1:57" s="90" customFormat="1" ht="13.5" customHeight="1" x14ac:dyDescent="0.2">
      <c r="A30" s="203"/>
      <c r="B30" s="204"/>
      <c r="C30" s="499"/>
      <c r="D30" s="470">
        <v>2026</v>
      </c>
      <c r="E30" s="567">
        <f t="shared" si="15"/>
        <v>1.3933</v>
      </c>
      <c r="F30" s="567">
        <f t="shared" si="15"/>
        <v>1.3933</v>
      </c>
      <c r="G30" s="567">
        <f t="shared" si="15"/>
        <v>0</v>
      </c>
      <c r="H30" s="567">
        <f t="shared" si="15"/>
        <v>0</v>
      </c>
      <c r="I30" s="567">
        <f t="shared" si="15"/>
        <v>0</v>
      </c>
      <c r="J30" s="567">
        <f t="shared" si="15"/>
        <v>0</v>
      </c>
      <c r="K30" s="52">
        <f t="shared" si="2"/>
        <v>1.3933</v>
      </c>
      <c r="L30" s="52"/>
      <c r="M30" s="50"/>
      <c r="N30" s="51"/>
      <c r="O30" s="26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9"/>
    </row>
    <row r="31" spans="1:57" s="90" customFormat="1" ht="13.5" customHeight="1" x14ac:dyDescent="0.2">
      <c r="A31" s="203"/>
      <c r="B31" s="204"/>
      <c r="C31" s="499"/>
      <c r="D31" s="470">
        <v>2027</v>
      </c>
      <c r="E31" s="567">
        <f t="shared" si="15"/>
        <v>2.3397000000000001</v>
      </c>
      <c r="F31" s="567">
        <f t="shared" si="15"/>
        <v>2.3397000000000001</v>
      </c>
      <c r="G31" s="567">
        <f t="shared" si="15"/>
        <v>0</v>
      </c>
      <c r="H31" s="567">
        <f t="shared" si="15"/>
        <v>0</v>
      </c>
      <c r="I31" s="567">
        <f t="shared" si="15"/>
        <v>0</v>
      </c>
      <c r="J31" s="567">
        <f t="shared" si="15"/>
        <v>0</v>
      </c>
      <c r="K31" s="52">
        <f t="shared" si="2"/>
        <v>2.3397000000000001</v>
      </c>
      <c r="L31" s="52"/>
      <c r="M31" s="50"/>
      <c r="N31" s="51"/>
      <c r="O31" s="26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9"/>
    </row>
    <row r="32" spans="1:57" s="90" customFormat="1" ht="13.5" customHeight="1" x14ac:dyDescent="0.2">
      <c r="A32" s="203"/>
      <c r="B32" s="204"/>
      <c r="C32" s="499"/>
      <c r="D32" s="470">
        <v>2028</v>
      </c>
      <c r="E32" s="567">
        <f t="shared" si="15"/>
        <v>1.8665</v>
      </c>
      <c r="F32" s="567">
        <f t="shared" si="15"/>
        <v>1.8665</v>
      </c>
      <c r="G32" s="567">
        <f t="shared" si="15"/>
        <v>0</v>
      </c>
      <c r="H32" s="567">
        <f t="shared" si="15"/>
        <v>0</v>
      </c>
      <c r="I32" s="567">
        <f t="shared" si="15"/>
        <v>0</v>
      </c>
      <c r="J32" s="567">
        <f t="shared" si="15"/>
        <v>0</v>
      </c>
      <c r="K32" s="52">
        <f t="shared" si="2"/>
        <v>1.8665</v>
      </c>
      <c r="L32" s="52"/>
      <c r="M32" s="50"/>
      <c r="N32" s="51"/>
      <c r="O32" s="26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9"/>
    </row>
    <row r="33" spans="1:57" s="90" customFormat="1" ht="13.5" customHeight="1" x14ac:dyDescent="0.2">
      <c r="A33" s="203"/>
      <c r="B33" s="204"/>
      <c r="C33" s="499"/>
      <c r="D33" s="470">
        <v>2029</v>
      </c>
      <c r="E33" s="567">
        <f t="shared" si="15"/>
        <v>1.3933</v>
      </c>
      <c r="F33" s="567">
        <f t="shared" si="15"/>
        <v>1.3933</v>
      </c>
      <c r="G33" s="567">
        <f t="shared" si="15"/>
        <v>0</v>
      </c>
      <c r="H33" s="567">
        <f t="shared" si="15"/>
        <v>0</v>
      </c>
      <c r="I33" s="567">
        <f t="shared" si="15"/>
        <v>0</v>
      </c>
      <c r="J33" s="567">
        <f t="shared" si="15"/>
        <v>0</v>
      </c>
      <c r="K33" s="52">
        <f t="shared" si="2"/>
        <v>1.3933</v>
      </c>
      <c r="L33" s="52"/>
      <c r="M33" s="50"/>
      <c r="N33" s="51"/>
      <c r="O33" s="26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9"/>
    </row>
    <row r="34" spans="1:57" s="90" customFormat="1" ht="13.5" customHeight="1" x14ac:dyDescent="0.2">
      <c r="A34" s="203"/>
      <c r="B34" s="204"/>
      <c r="C34" s="499"/>
      <c r="D34" s="470">
        <v>2030</v>
      </c>
      <c r="E34" s="567">
        <f t="shared" si="15"/>
        <v>2.3397000000000001</v>
      </c>
      <c r="F34" s="567">
        <f t="shared" si="15"/>
        <v>2.3397000000000001</v>
      </c>
      <c r="G34" s="567">
        <f t="shared" si="15"/>
        <v>0</v>
      </c>
      <c r="H34" s="567">
        <f t="shared" si="15"/>
        <v>0</v>
      </c>
      <c r="I34" s="567">
        <f t="shared" si="15"/>
        <v>0</v>
      </c>
      <c r="J34" s="567">
        <f t="shared" si="15"/>
        <v>0</v>
      </c>
      <c r="K34" s="52">
        <f t="shared" si="2"/>
        <v>2.3397000000000001</v>
      </c>
      <c r="L34" s="52"/>
      <c r="M34" s="50"/>
      <c r="N34" s="51"/>
      <c r="O34" s="26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9"/>
    </row>
    <row r="35" spans="1:57" s="90" customFormat="1" ht="13.5" customHeight="1" x14ac:dyDescent="0.2">
      <c r="A35" s="203"/>
      <c r="B35" s="204"/>
      <c r="C35" s="499"/>
      <c r="D35" s="470"/>
      <c r="E35" s="567">
        <f>E36+E49+E62</f>
        <v>35.498800000000003</v>
      </c>
      <c r="F35" s="567">
        <f t="shared" ref="F35:J35" si="16">F36+F49+F62</f>
        <v>35.498800000000003</v>
      </c>
      <c r="G35" s="567">
        <f t="shared" si="16"/>
        <v>0</v>
      </c>
      <c r="H35" s="567">
        <f t="shared" si="16"/>
        <v>0</v>
      </c>
      <c r="I35" s="567">
        <f t="shared" si="16"/>
        <v>0</v>
      </c>
      <c r="J35" s="567">
        <f t="shared" si="16"/>
        <v>0</v>
      </c>
      <c r="K35" s="52">
        <f t="shared" si="2"/>
        <v>35.498800000000003</v>
      </c>
      <c r="L35" s="52"/>
      <c r="M35" s="50"/>
      <c r="N35" s="51"/>
      <c r="O35" s="505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9"/>
    </row>
    <row r="36" spans="1:57" s="90" customFormat="1" ht="13.5" customHeight="1" x14ac:dyDescent="0.2">
      <c r="A36" s="670" t="s">
        <v>5</v>
      </c>
      <c r="B36" s="631" t="s">
        <v>729</v>
      </c>
      <c r="C36" s="543"/>
      <c r="D36" s="46" t="s">
        <v>198</v>
      </c>
      <c r="E36" s="47">
        <f>E37+E38+E39+E40+E41+E42+E43+E44+E45+E46+E47+E48</f>
        <v>1.4656999999999998</v>
      </c>
      <c r="F36" s="47">
        <f>F37+F38+F39+F40+F41+F42+F43+F44+F45+F46+F47+F48</f>
        <v>1.4656999999999998</v>
      </c>
      <c r="G36" s="47">
        <f t="shared" ref="G36:J36" si="17">G37+G38+G39+G40+G41+G42+G43+G44+G45+G46+G47+G48</f>
        <v>0</v>
      </c>
      <c r="H36" s="47">
        <f t="shared" si="17"/>
        <v>0</v>
      </c>
      <c r="I36" s="47">
        <f t="shared" si="17"/>
        <v>0</v>
      </c>
      <c r="J36" s="47">
        <f t="shared" si="17"/>
        <v>0</v>
      </c>
      <c r="K36" s="52">
        <f t="shared" si="2"/>
        <v>1.4656999999999998</v>
      </c>
      <c r="L36" s="52"/>
      <c r="M36" s="50"/>
      <c r="N36" s="51"/>
      <c r="O36" s="505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9"/>
    </row>
    <row r="37" spans="1:57" s="90" customFormat="1" x14ac:dyDescent="0.2">
      <c r="A37" s="717"/>
      <c r="B37" s="701"/>
      <c r="C37" s="490" t="s">
        <v>415</v>
      </c>
      <c r="D37" s="470">
        <v>2019</v>
      </c>
      <c r="E37" s="567">
        <f>F37</f>
        <v>0.22639999999999999</v>
      </c>
      <c r="F37" s="567">
        <v>0.22639999999999999</v>
      </c>
      <c r="G37" s="567">
        <v>0</v>
      </c>
      <c r="H37" s="567">
        <v>0</v>
      </c>
      <c r="I37" s="567">
        <v>0</v>
      </c>
      <c r="J37" s="567">
        <v>0</v>
      </c>
      <c r="K37" s="52">
        <f t="shared" si="2"/>
        <v>0.22639999999999999</v>
      </c>
      <c r="L37" s="52"/>
      <c r="M37" s="50"/>
      <c r="N37" s="51"/>
      <c r="O37" s="769" t="s">
        <v>230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9"/>
    </row>
    <row r="38" spans="1:57" s="90" customFormat="1" x14ac:dyDescent="0.2">
      <c r="A38" s="717"/>
      <c r="B38" s="701"/>
      <c r="C38" s="631" t="s">
        <v>890</v>
      </c>
      <c r="D38" s="470">
        <v>2020</v>
      </c>
      <c r="E38" s="567">
        <f t="shared" ref="E38:E48" si="18">F38</f>
        <v>0.1467</v>
      </c>
      <c r="F38" s="567">
        <v>0.1467</v>
      </c>
      <c r="G38" s="567">
        <v>0</v>
      </c>
      <c r="H38" s="567">
        <v>0</v>
      </c>
      <c r="I38" s="567">
        <v>0</v>
      </c>
      <c r="J38" s="567">
        <v>0</v>
      </c>
      <c r="K38" s="52">
        <f t="shared" si="2"/>
        <v>0.1467</v>
      </c>
      <c r="L38" s="52"/>
      <c r="M38" s="50"/>
      <c r="N38" s="51"/>
      <c r="O38" s="941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9"/>
    </row>
    <row r="39" spans="1:57" s="90" customFormat="1" x14ac:dyDescent="0.2">
      <c r="A39" s="717"/>
      <c r="B39" s="701"/>
      <c r="C39" s="648"/>
      <c r="D39" s="470">
        <v>2021</v>
      </c>
      <c r="E39" s="567">
        <f t="shared" si="18"/>
        <v>0.15260000000000001</v>
      </c>
      <c r="F39" s="567">
        <v>0.15260000000000001</v>
      </c>
      <c r="G39" s="567">
        <v>0</v>
      </c>
      <c r="H39" s="567">
        <v>0</v>
      </c>
      <c r="I39" s="567">
        <v>0</v>
      </c>
      <c r="J39" s="567">
        <v>0</v>
      </c>
      <c r="K39" s="52">
        <f t="shared" si="2"/>
        <v>0.15260000000000001</v>
      </c>
      <c r="L39" s="52"/>
      <c r="M39" s="50"/>
      <c r="N39" s="51"/>
      <c r="O39" s="941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</row>
    <row r="40" spans="1:57" s="90" customFormat="1" x14ac:dyDescent="0.2">
      <c r="A40" s="717"/>
      <c r="B40" s="701"/>
      <c r="C40" s="648"/>
      <c r="D40" s="470">
        <v>2022</v>
      </c>
      <c r="E40" s="567">
        <f t="shared" si="18"/>
        <v>0.15260000000000001</v>
      </c>
      <c r="F40" s="567">
        <v>0.15260000000000001</v>
      </c>
      <c r="G40" s="567">
        <v>0</v>
      </c>
      <c r="H40" s="567">
        <v>0</v>
      </c>
      <c r="I40" s="567">
        <v>0</v>
      </c>
      <c r="J40" s="567">
        <v>0</v>
      </c>
      <c r="K40" s="52">
        <f t="shared" si="2"/>
        <v>0.15260000000000001</v>
      </c>
      <c r="L40" s="52"/>
      <c r="M40" s="50"/>
      <c r="N40" s="51"/>
      <c r="O40" s="941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</row>
    <row r="41" spans="1:57" s="90" customFormat="1" x14ac:dyDescent="0.2">
      <c r="A41" s="717"/>
      <c r="B41" s="701"/>
      <c r="C41" s="648"/>
      <c r="D41" s="470">
        <v>2023</v>
      </c>
      <c r="E41" s="567">
        <f t="shared" si="18"/>
        <v>5.4000000000000003E-3</v>
      </c>
      <c r="F41" s="567">
        <v>5.4000000000000003E-3</v>
      </c>
      <c r="G41" s="567">
        <v>0</v>
      </c>
      <c r="H41" s="567">
        <v>0</v>
      </c>
      <c r="I41" s="567">
        <v>0</v>
      </c>
      <c r="J41" s="567">
        <v>0</v>
      </c>
      <c r="K41" s="52">
        <f t="shared" si="2"/>
        <v>5.4000000000000003E-3</v>
      </c>
      <c r="L41" s="52"/>
      <c r="M41" s="50"/>
      <c r="N41" s="51"/>
      <c r="O41" s="941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9"/>
    </row>
    <row r="42" spans="1:57" s="90" customFormat="1" x14ac:dyDescent="0.2">
      <c r="A42" s="717"/>
      <c r="B42" s="701"/>
      <c r="C42" s="648"/>
      <c r="D42" s="470">
        <v>2024</v>
      </c>
      <c r="E42" s="567">
        <f t="shared" si="18"/>
        <v>5.5999999999999999E-3</v>
      </c>
      <c r="F42" s="567">
        <v>5.5999999999999999E-3</v>
      </c>
      <c r="G42" s="567">
        <v>0</v>
      </c>
      <c r="H42" s="567">
        <v>0</v>
      </c>
      <c r="I42" s="567">
        <v>0</v>
      </c>
      <c r="J42" s="567">
        <v>0</v>
      </c>
      <c r="K42" s="52">
        <f t="shared" si="2"/>
        <v>5.5999999999999999E-3</v>
      </c>
      <c r="L42" s="52"/>
      <c r="M42" s="50"/>
      <c r="N42" s="51"/>
      <c r="O42" s="941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9"/>
    </row>
    <row r="43" spans="1:57" s="90" customFormat="1" x14ac:dyDescent="0.2">
      <c r="A43" s="717"/>
      <c r="B43" s="701"/>
      <c r="C43" s="632"/>
      <c r="D43" s="470">
        <v>2025</v>
      </c>
      <c r="E43" s="567">
        <f t="shared" si="18"/>
        <v>5.8999999999999999E-3</v>
      </c>
      <c r="F43" s="567">
        <v>5.8999999999999999E-3</v>
      </c>
      <c r="G43" s="567">
        <v>0</v>
      </c>
      <c r="H43" s="567">
        <v>0</v>
      </c>
      <c r="I43" s="567">
        <v>0</v>
      </c>
      <c r="J43" s="567">
        <v>0</v>
      </c>
      <c r="K43" s="52">
        <f t="shared" si="2"/>
        <v>5.8999999999999999E-3</v>
      </c>
      <c r="L43" s="52"/>
      <c r="M43" s="50"/>
      <c r="N43" s="51"/>
      <c r="O43" s="941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9"/>
    </row>
    <row r="44" spans="1:57" s="90" customFormat="1" x14ac:dyDescent="0.2">
      <c r="A44" s="717"/>
      <c r="B44" s="701"/>
      <c r="C44" s="631" t="s">
        <v>728</v>
      </c>
      <c r="D44" s="470">
        <v>2026</v>
      </c>
      <c r="E44" s="567">
        <f t="shared" si="18"/>
        <v>0.15409999999999999</v>
      </c>
      <c r="F44" s="567">
        <v>0.15409999999999999</v>
      </c>
      <c r="G44" s="567">
        <v>0</v>
      </c>
      <c r="H44" s="567">
        <v>0</v>
      </c>
      <c r="I44" s="567">
        <v>0</v>
      </c>
      <c r="J44" s="567">
        <v>0</v>
      </c>
      <c r="K44" s="52">
        <f t="shared" si="2"/>
        <v>0.15409999999999999</v>
      </c>
      <c r="L44" s="52"/>
      <c r="M44" s="50"/>
      <c r="N44" s="51"/>
      <c r="O44" s="941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9"/>
    </row>
    <row r="45" spans="1:57" s="90" customFormat="1" x14ac:dyDescent="0.2">
      <c r="A45" s="717"/>
      <c r="B45" s="701"/>
      <c r="C45" s="648"/>
      <c r="D45" s="470">
        <v>2027</v>
      </c>
      <c r="E45" s="567">
        <f t="shared" si="18"/>
        <v>0.15409999999999999</v>
      </c>
      <c r="F45" s="567">
        <v>0.15409999999999999</v>
      </c>
      <c r="G45" s="567">
        <v>0</v>
      </c>
      <c r="H45" s="567">
        <v>0</v>
      </c>
      <c r="I45" s="567">
        <v>0</v>
      </c>
      <c r="J45" s="567">
        <v>0</v>
      </c>
      <c r="K45" s="52">
        <f t="shared" si="2"/>
        <v>0.15409999999999999</v>
      </c>
      <c r="L45" s="52"/>
      <c r="M45" s="50"/>
      <c r="N45" s="51"/>
      <c r="O45" s="941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</row>
    <row r="46" spans="1:57" s="90" customFormat="1" x14ac:dyDescent="0.2">
      <c r="A46" s="717"/>
      <c r="B46" s="701"/>
      <c r="C46" s="648"/>
      <c r="D46" s="470">
        <v>2028</v>
      </c>
      <c r="E46" s="567">
        <f t="shared" si="18"/>
        <v>0.15409999999999999</v>
      </c>
      <c r="F46" s="567">
        <v>0.15409999999999999</v>
      </c>
      <c r="G46" s="567">
        <v>0</v>
      </c>
      <c r="H46" s="567">
        <v>0</v>
      </c>
      <c r="I46" s="567">
        <v>0</v>
      </c>
      <c r="J46" s="567">
        <v>0</v>
      </c>
      <c r="K46" s="52">
        <f t="shared" si="2"/>
        <v>0.15409999999999999</v>
      </c>
      <c r="L46" s="52"/>
      <c r="M46" s="50"/>
      <c r="N46" s="51"/>
      <c r="O46" s="941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9"/>
    </row>
    <row r="47" spans="1:57" s="90" customFormat="1" x14ac:dyDescent="0.2">
      <c r="A47" s="717"/>
      <c r="B47" s="701"/>
      <c r="C47" s="648"/>
      <c r="D47" s="470">
        <v>2029</v>
      </c>
      <c r="E47" s="567">
        <f t="shared" si="18"/>
        <v>0.15409999999999999</v>
      </c>
      <c r="F47" s="567">
        <v>0.15409999999999999</v>
      </c>
      <c r="G47" s="567">
        <v>0</v>
      </c>
      <c r="H47" s="567">
        <v>0</v>
      </c>
      <c r="I47" s="567">
        <v>0</v>
      </c>
      <c r="J47" s="567">
        <v>0</v>
      </c>
      <c r="K47" s="52">
        <f t="shared" si="2"/>
        <v>0.15409999999999999</v>
      </c>
      <c r="L47" s="52"/>
      <c r="M47" s="50"/>
      <c r="N47" s="51"/>
      <c r="O47" s="941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9"/>
    </row>
    <row r="48" spans="1:57" s="90" customFormat="1" x14ac:dyDescent="0.2">
      <c r="A48" s="734"/>
      <c r="B48" s="702"/>
      <c r="C48" s="632"/>
      <c r="D48" s="470">
        <v>2030</v>
      </c>
      <c r="E48" s="567">
        <f t="shared" si="18"/>
        <v>0.15409999999999999</v>
      </c>
      <c r="F48" s="567">
        <v>0.15409999999999999</v>
      </c>
      <c r="G48" s="567">
        <v>0</v>
      </c>
      <c r="H48" s="567">
        <v>0</v>
      </c>
      <c r="I48" s="567">
        <v>0</v>
      </c>
      <c r="J48" s="567">
        <v>0</v>
      </c>
      <c r="K48" s="52">
        <f t="shared" si="2"/>
        <v>0.15409999999999999</v>
      </c>
      <c r="L48" s="52"/>
      <c r="M48" s="50"/>
      <c r="N48" s="51"/>
      <c r="O48" s="941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9"/>
    </row>
    <row r="49" spans="1:57" s="90" customFormat="1" x14ac:dyDescent="0.2">
      <c r="A49" s="662" t="s">
        <v>727</v>
      </c>
      <c r="B49" s="631" t="s">
        <v>730</v>
      </c>
      <c r="C49" s="499"/>
      <c r="D49" s="46" t="s">
        <v>198</v>
      </c>
      <c r="E49" s="47">
        <f>E50+E51+E52+E53+E54+E55+E56+E57+E58+E59+E60+E61</f>
        <v>0.45599999999999991</v>
      </c>
      <c r="F49" s="47">
        <f>F50+F51+F52+F53+F54+F55+F56+F57+F58+F59+F60+F61</f>
        <v>0.45599999999999991</v>
      </c>
      <c r="G49" s="47">
        <f t="shared" ref="G49:J49" si="19">G50+G51+G52+G53+G54+G55+G56+G57+G58+G59+G60+G61</f>
        <v>0</v>
      </c>
      <c r="H49" s="47">
        <f t="shared" si="19"/>
        <v>0</v>
      </c>
      <c r="I49" s="47">
        <f t="shared" si="19"/>
        <v>0</v>
      </c>
      <c r="J49" s="47">
        <f t="shared" si="19"/>
        <v>0</v>
      </c>
      <c r="K49" s="52">
        <f t="shared" si="2"/>
        <v>0.45599999999999991</v>
      </c>
      <c r="L49" s="52"/>
      <c r="M49" s="50"/>
      <c r="N49" s="51"/>
      <c r="O49" s="941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9"/>
    </row>
    <row r="50" spans="1:57" s="90" customFormat="1" x14ac:dyDescent="0.2">
      <c r="A50" s="717"/>
      <c r="B50" s="701"/>
      <c r="C50" s="472" t="s">
        <v>415</v>
      </c>
      <c r="D50" s="470">
        <v>2019</v>
      </c>
      <c r="E50" s="567">
        <f>F50</f>
        <v>3.7999999999999999E-2</v>
      </c>
      <c r="F50" s="567">
        <v>3.7999999999999999E-2</v>
      </c>
      <c r="G50" s="567">
        <v>0</v>
      </c>
      <c r="H50" s="567">
        <v>0</v>
      </c>
      <c r="I50" s="567">
        <v>0</v>
      </c>
      <c r="J50" s="567">
        <v>0</v>
      </c>
      <c r="K50" s="52">
        <f t="shared" si="2"/>
        <v>3.7999999999999999E-2</v>
      </c>
      <c r="L50" s="52"/>
      <c r="M50" s="50"/>
      <c r="N50" s="51"/>
      <c r="O50" s="941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9"/>
    </row>
    <row r="51" spans="1:57" s="90" customFormat="1" x14ac:dyDescent="0.2">
      <c r="A51" s="717"/>
      <c r="B51" s="701"/>
      <c r="C51" s="678" t="s">
        <v>889</v>
      </c>
      <c r="D51" s="470">
        <v>2020</v>
      </c>
      <c r="E51" s="567">
        <f t="shared" ref="E51:E61" si="20">F51</f>
        <v>3.7999999999999999E-2</v>
      </c>
      <c r="F51" s="567">
        <v>3.7999999999999999E-2</v>
      </c>
      <c r="G51" s="567">
        <v>0</v>
      </c>
      <c r="H51" s="567">
        <v>0</v>
      </c>
      <c r="I51" s="567">
        <v>0</v>
      </c>
      <c r="J51" s="567">
        <v>0</v>
      </c>
      <c r="K51" s="52">
        <f t="shared" si="2"/>
        <v>3.7999999999999999E-2</v>
      </c>
      <c r="L51" s="52"/>
      <c r="M51" s="50"/>
      <c r="N51" s="51"/>
      <c r="O51" s="941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9"/>
    </row>
    <row r="52" spans="1:57" s="90" customFormat="1" x14ac:dyDescent="0.2">
      <c r="A52" s="717"/>
      <c r="B52" s="701"/>
      <c r="C52" s="678"/>
      <c r="D52" s="470">
        <v>2021</v>
      </c>
      <c r="E52" s="567">
        <f t="shared" si="20"/>
        <v>3.7999999999999999E-2</v>
      </c>
      <c r="F52" s="567">
        <v>3.7999999999999999E-2</v>
      </c>
      <c r="G52" s="567">
        <v>0</v>
      </c>
      <c r="H52" s="567">
        <v>0</v>
      </c>
      <c r="I52" s="567">
        <v>0</v>
      </c>
      <c r="J52" s="567">
        <v>0</v>
      </c>
      <c r="K52" s="52">
        <f t="shared" si="2"/>
        <v>3.7999999999999999E-2</v>
      </c>
      <c r="L52" s="52"/>
      <c r="M52" s="50"/>
      <c r="N52" s="51"/>
      <c r="O52" s="941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9"/>
    </row>
    <row r="53" spans="1:57" s="90" customFormat="1" ht="14.25" customHeight="1" x14ac:dyDescent="0.2">
      <c r="A53" s="717"/>
      <c r="B53" s="701"/>
      <c r="C53" s="678"/>
      <c r="D53" s="470">
        <v>2022</v>
      </c>
      <c r="E53" s="567">
        <f t="shared" si="20"/>
        <v>3.7999999999999999E-2</v>
      </c>
      <c r="F53" s="567">
        <v>3.7999999999999999E-2</v>
      </c>
      <c r="G53" s="567">
        <v>0</v>
      </c>
      <c r="H53" s="567">
        <v>0</v>
      </c>
      <c r="I53" s="567">
        <v>0</v>
      </c>
      <c r="J53" s="567">
        <v>0</v>
      </c>
      <c r="K53" s="52">
        <f t="shared" si="2"/>
        <v>3.7999999999999999E-2</v>
      </c>
      <c r="L53" s="52"/>
      <c r="M53" s="50"/>
      <c r="N53" s="51"/>
      <c r="O53" s="941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9"/>
    </row>
    <row r="54" spans="1:57" s="90" customFormat="1" ht="14.25" customHeight="1" x14ac:dyDescent="0.2">
      <c r="A54" s="717"/>
      <c r="B54" s="701"/>
      <c r="C54" s="678"/>
      <c r="D54" s="470">
        <v>2023</v>
      </c>
      <c r="E54" s="567">
        <f t="shared" si="20"/>
        <v>3.7999999999999999E-2</v>
      </c>
      <c r="F54" s="567">
        <v>3.7999999999999999E-2</v>
      </c>
      <c r="G54" s="567">
        <v>0</v>
      </c>
      <c r="H54" s="567">
        <v>0</v>
      </c>
      <c r="I54" s="567">
        <v>0</v>
      </c>
      <c r="J54" s="567">
        <v>0</v>
      </c>
      <c r="K54" s="52">
        <f t="shared" si="2"/>
        <v>3.7999999999999999E-2</v>
      </c>
      <c r="L54" s="52"/>
      <c r="M54" s="50"/>
      <c r="N54" s="51"/>
      <c r="O54" s="941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9"/>
    </row>
    <row r="55" spans="1:57" s="90" customFormat="1" ht="14.25" customHeight="1" x14ac:dyDescent="0.2">
      <c r="A55" s="717"/>
      <c r="B55" s="701"/>
      <c r="C55" s="678"/>
      <c r="D55" s="470">
        <v>2024</v>
      </c>
      <c r="E55" s="567">
        <f t="shared" si="20"/>
        <v>3.7999999999999999E-2</v>
      </c>
      <c r="F55" s="567">
        <v>3.7999999999999999E-2</v>
      </c>
      <c r="G55" s="567">
        <v>0</v>
      </c>
      <c r="H55" s="567">
        <v>0</v>
      </c>
      <c r="I55" s="567">
        <v>0</v>
      </c>
      <c r="J55" s="567">
        <v>0</v>
      </c>
      <c r="K55" s="52">
        <f t="shared" si="2"/>
        <v>3.7999999999999999E-2</v>
      </c>
      <c r="L55" s="52"/>
      <c r="M55" s="50"/>
      <c r="N55" s="51"/>
      <c r="O55" s="941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9"/>
    </row>
    <row r="56" spans="1:57" s="90" customFormat="1" ht="14.25" customHeight="1" x14ac:dyDescent="0.2">
      <c r="A56" s="717"/>
      <c r="B56" s="701"/>
      <c r="C56" s="678"/>
      <c r="D56" s="470">
        <v>2025</v>
      </c>
      <c r="E56" s="567">
        <f t="shared" si="20"/>
        <v>3.7999999999999999E-2</v>
      </c>
      <c r="F56" s="567">
        <v>3.7999999999999999E-2</v>
      </c>
      <c r="G56" s="567">
        <v>0</v>
      </c>
      <c r="H56" s="567">
        <v>0</v>
      </c>
      <c r="I56" s="567">
        <v>0</v>
      </c>
      <c r="J56" s="567">
        <v>0</v>
      </c>
      <c r="K56" s="52">
        <f t="shared" si="2"/>
        <v>3.7999999999999999E-2</v>
      </c>
      <c r="L56" s="52"/>
      <c r="M56" s="50"/>
      <c r="N56" s="51"/>
      <c r="O56" s="941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9"/>
    </row>
    <row r="57" spans="1:57" s="90" customFormat="1" ht="16.5" customHeight="1" x14ac:dyDescent="0.2">
      <c r="A57" s="717"/>
      <c r="B57" s="701"/>
      <c r="C57" s="678" t="s">
        <v>888</v>
      </c>
      <c r="D57" s="470">
        <v>2026</v>
      </c>
      <c r="E57" s="567">
        <f t="shared" si="20"/>
        <v>3.7999999999999999E-2</v>
      </c>
      <c r="F57" s="567">
        <v>3.7999999999999999E-2</v>
      </c>
      <c r="G57" s="567">
        <v>0</v>
      </c>
      <c r="H57" s="567">
        <v>0</v>
      </c>
      <c r="I57" s="567">
        <v>0</v>
      </c>
      <c r="J57" s="567">
        <v>0</v>
      </c>
      <c r="K57" s="52">
        <f t="shared" si="2"/>
        <v>3.7999999999999999E-2</v>
      </c>
      <c r="L57" s="52"/>
      <c r="M57" s="50"/>
      <c r="N57" s="51"/>
      <c r="O57" s="941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9"/>
    </row>
    <row r="58" spans="1:57" s="90" customFormat="1" x14ac:dyDescent="0.2">
      <c r="A58" s="717"/>
      <c r="B58" s="701"/>
      <c r="C58" s="678"/>
      <c r="D58" s="470">
        <v>2027</v>
      </c>
      <c r="E58" s="567">
        <f t="shared" si="20"/>
        <v>3.7999999999999999E-2</v>
      </c>
      <c r="F58" s="567">
        <v>3.7999999999999999E-2</v>
      </c>
      <c r="G58" s="567">
        <v>0</v>
      </c>
      <c r="H58" s="567">
        <v>0</v>
      </c>
      <c r="I58" s="567">
        <v>0</v>
      </c>
      <c r="J58" s="567">
        <v>0</v>
      </c>
      <c r="K58" s="52">
        <f t="shared" si="2"/>
        <v>3.7999999999999999E-2</v>
      </c>
      <c r="L58" s="52"/>
      <c r="M58" s="50"/>
      <c r="N58" s="51"/>
      <c r="O58" s="941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9"/>
    </row>
    <row r="59" spans="1:57" s="90" customFormat="1" ht="16.5" customHeight="1" x14ac:dyDescent="0.2">
      <c r="A59" s="717"/>
      <c r="B59" s="701"/>
      <c r="C59" s="678"/>
      <c r="D59" s="470">
        <v>2028</v>
      </c>
      <c r="E59" s="567">
        <f t="shared" si="20"/>
        <v>3.7999999999999999E-2</v>
      </c>
      <c r="F59" s="567">
        <v>3.7999999999999999E-2</v>
      </c>
      <c r="G59" s="567">
        <v>0</v>
      </c>
      <c r="H59" s="567">
        <v>0</v>
      </c>
      <c r="I59" s="567">
        <v>0</v>
      </c>
      <c r="J59" s="567">
        <v>0</v>
      </c>
      <c r="K59" s="52">
        <f t="shared" si="2"/>
        <v>3.7999999999999999E-2</v>
      </c>
      <c r="L59" s="52"/>
      <c r="M59" s="50"/>
      <c r="N59" s="51"/>
      <c r="O59" s="941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9"/>
    </row>
    <row r="60" spans="1:57" s="90" customFormat="1" ht="16.5" customHeight="1" x14ac:dyDescent="0.2">
      <c r="A60" s="717"/>
      <c r="B60" s="701"/>
      <c r="C60" s="678"/>
      <c r="D60" s="470">
        <v>2029</v>
      </c>
      <c r="E60" s="567">
        <f t="shared" si="20"/>
        <v>3.7999999999999999E-2</v>
      </c>
      <c r="F60" s="567">
        <v>3.7999999999999999E-2</v>
      </c>
      <c r="G60" s="567">
        <v>0</v>
      </c>
      <c r="H60" s="567">
        <v>0</v>
      </c>
      <c r="I60" s="567">
        <v>0</v>
      </c>
      <c r="J60" s="567">
        <v>0</v>
      </c>
      <c r="K60" s="52">
        <f t="shared" si="2"/>
        <v>3.7999999999999999E-2</v>
      </c>
      <c r="L60" s="52"/>
      <c r="M60" s="50"/>
      <c r="N60" s="51"/>
      <c r="O60" s="941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9"/>
    </row>
    <row r="61" spans="1:57" s="108" customFormat="1" ht="16.5" customHeight="1" x14ac:dyDescent="0.2">
      <c r="A61" s="717"/>
      <c r="B61" s="701"/>
      <c r="C61" s="678"/>
      <c r="D61" s="485">
        <v>2030</v>
      </c>
      <c r="E61" s="493">
        <f t="shared" si="20"/>
        <v>3.7999999999999999E-2</v>
      </c>
      <c r="F61" s="493">
        <v>3.7999999999999999E-2</v>
      </c>
      <c r="G61" s="493">
        <v>0</v>
      </c>
      <c r="H61" s="493">
        <v>0</v>
      </c>
      <c r="I61" s="493">
        <v>0</v>
      </c>
      <c r="J61" s="493">
        <v>0</v>
      </c>
      <c r="K61" s="52">
        <f t="shared" si="2"/>
        <v>3.7999999999999999E-2</v>
      </c>
      <c r="L61" s="106"/>
      <c r="M61" s="101"/>
      <c r="N61" s="63"/>
      <c r="O61" s="942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107"/>
    </row>
    <row r="62" spans="1:57" s="108" customFormat="1" ht="16.5" customHeight="1" x14ac:dyDescent="0.2">
      <c r="A62" s="662" t="s">
        <v>855</v>
      </c>
      <c r="B62" s="138"/>
      <c r="C62" s="500"/>
      <c r="D62" s="544" t="s">
        <v>198</v>
      </c>
      <c r="E62" s="474">
        <f>SUM(E63:E74)</f>
        <v>33.577100000000002</v>
      </c>
      <c r="F62" s="474">
        <f>SUM(F63:F74)</f>
        <v>33.577100000000002</v>
      </c>
      <c r="G62" s="474">
        <f t="shared" ref="G62:J62" si="21">SUM(G63:G74)</f>
        <v>0</v>
      </c>
      <c r="H62" s="474">
        <f t="shared" si="21"/>
        <v>0</v>
      </c>
      <c r="I62" s="474">
        <f t="shared" si="21"/>
        <v>0</v>
      </c>
      <c r="J62" s="474">
        <f t="shared" si="21"/>
        <v>0</v>
      </c>
      <c r="K62" s="52">
        <f t="shared" si="2"/>
        <v>33.577100000000002</v>
      </c>
      <c r="L62" s="106"/>
      <c r="M62" s="101"/>
      <c r="N62" s="63"/>
      <c r="O62" s="631" t="s">
        <v>600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107"/>
    </row>
    <row r="63" spans="1:57" s="108" customFormat="1" ht="51" x14ac:dyDescent="0.2">
      <c r="A63" s="717"/>
      <c r="B63" s="638" t="s">
        <v>957</v>
      </c>
      <c r="C63" s="472" t="s">
        <v>540</v>
      </c>
      <c r="D63" s="485">
        <v>2019</v>
      </c>
      <c r="E63" s="493">
        <f>F63+G63+H63+I63+J63</f>
        <v>2.1492</v>
      </c>
      <c r="F63" s="493">
        <v>2.1492</v>
      </c>
      <c r="G63" s="493">
        <v>0</v>
      </c>
      <c r="H63" s="493">
        <v>0</v>
      </c>
      <c r="I63" s="493">
        <v>0</v>
      </c>
      <c r="J63" s="493">
        <v>0</v>
      </c>
      <c r="K63" s="52">
        <f t="shared" si="2"/>
        <v>2.1492</v>
      </c>
      <c r="L63" s="106"/>
      <c r="M63" s="101"/>
      <c r="N63" s="63"/>
      <c r="O63" s="64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107"/>
    </row>
    <row r="64" spans="1:57" s="108" customFormat="1" ht="16.5" customHeight="1" x14ac:dyDescent="0.2">
      <c r="A64" s="717"/>
      <c r="B64" s="639"/>
      <c r="C64" s="678" t="s">
        <v>958</v>
      </c>
      <c r="D64" s="485">
        <v>2020</v>
      </c>
      <c r="E64" s="493">
        <f t="shared" ref="E64:E74" si="22">F64+G64+H64+I64+J64</f>
        <v>1.2977000000000001</v>
      </c>
      <c r="F64" s="493">
        <v>1.2977000000000001</v>
      </c>
      <c r="G64" s="493">
        <v>0</v>
      </c>
      <c r="H64" s="493">
        <v>0</v>
      </c>
      <c r="I64" s="493">
        <v>0</v>
      </c>
      <c r="J64" s="493">
        <v>0</v>
      </c>
      <c r="K64" s="52">
        <f t="shared" si="2"/>
        <v>1.2977000000000001</v>
      </c>
      <c r="L64" s="106"/>
      <c r="M64" s="101"/>
      <c r="N64" s="63"/>
      <c r="O64" s="64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107"/>
    </row>
    <row r="65" spans="1:57" s="108" customFormat="1" ht="16.5" customHeight="1" x14ac:dyDescent="0.2">
      <c r="A65" s="717"/>
      <c r="B65" s="639"/>
      <c r="C65" s="678"/>
      <c r="D65" s="485">
        <v>2021</v>
      </c>
      <c r="E65" s="493">
        <f t="shared" si="22"/>
        <v>2.5042</v>
      </c>
      <c r="F65" s="493">
        <v>2.5042</v>
      </c>
      <c r="G65" s="493">
        <v>0</v>
      </c>
      <c r="H65" s="493">
        <v>0</v>
      </c>
      <c r="I65" s="493">
        <v>0</v>
      </c>
      <c r="J65" s="493">
        <v>0</v>
      </c>
      <c r="K65" s="52">
        <f t="shared" si="2"/>
        <v>2.5042</v>
      </c>
      <c r="L65" s="106"/>
      <c r="M65" s="101"/>
      <c r="N65" s="63"/>
      <c r="O65" s="64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107"/>
    </row>
    <row r="66" spans="1:57" s="108" customFormat="1" ht="16.5" customHeight="1" x14ac:dyDescent="0.2">
      <c r="A66" s="717"/>
      <c r="B66" s="639"/>
      <c r="C66" s="678"/>
      <c r="D66" s="485">
        <v>2022</v>
      </c>
      <c r="E66" s="493">
        <f t="shared" si="22"/>
        <v>2.5043000000000002</v>
      </c>
      <c r="F66" s="493">
        <v>2.5043000000000002</v>
      </c>
      <c r="G66" s="493">
        <v>0</v>
      </c>
      <c r="H66" s="493">
        <v>0</v>
      </c>
      <c r="I66" s="493">
        <v>0</v>
      </c>
      <c r="J66" s="493">
        <v>0</v>
      </c>
      <c r="K66" s="52">
        <f t="shared" si="2"/>
        <v>2.5043000000000002</v>
      </c>
      <c r="L66" s="106"/>
      <c r="M66" s="101"/>
      <c r="N66" s="63"/>
      <c r="O66" s="64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107"/>
    </row>
    <row r="67" spans="1:57" s="108" customFormat="1" ht="16.5" customHeight="1" x14ac:dyDescent="0.2">
      <c r="A67" s="717"/>
      <c r="B67" s="639"/>
      <c r="C67" s="678"/>
      <c r="D67" s="485">
        <v>2023</v>
      </c>
      <c r="E67" s="493">
        <f t="shared" si="22"/>
        <v>5.4172000000000002</v>
      </c>
      <c r="F67" s="493">
        <v>5.4172000000000002</v>
      </c>
      <c r="G67" s="493">
        <v>0</v>
      </c>
      <c r="H67" s="493">
        <v>0</v>
      </c>
      <c r="I67" s="493">
        <v>0</v>
      </c>
      <c r="J67" s="493">
        <v>0</v>
      </c>
      <c r="K67" s="52">
        <f t="shared" si="2"/>
        <v>5.4172000000000002</v>
      </c>
      <c r="L67" s="106"/>
      <c r="M67" s="101"/>
      <c r="N67" s="63"/>
      <c r="O67" s="64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107"/>
    </row>
    <row r="68" spans="1:57" s="108" customFormat="1" ht="16.5" customHeight="1" x14ac:dyDescent="0.2">
      <c r="A68" s="717"/>
      <c r="B68" s="639"/>
      <c r="C68" s="678"/>
      <c r="D68" s="485">
        <v>2024</v>
      </c>
      <c r="E68" s="493">
        <f t="shared" si="22"/>
        <v>5.6338999999999997</v>
      </c>
      <c r="F68" s="493">
        <v>5.6338999999999997</v>
      </c>
      <c r="G68" s="493">
        <v>0</v>
      </c>
      <c r="H68" s="493">
        <v>0</v>
      </c>
      <c r="I68" s="493">
        <v>0</v>
      </c>
      <c r="J68" s="493">
        <v>0</v>
      </c>
      <c r="K68" s="52">
        <f t="shared" si="2"/>
        <v>5.6338999999999997</v>
      </c>
      <c r="L68" s="106"/>
      <c r="M68" s="101"/>
      <c r="N68" s="63"/>
      <c r="O68" s="64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107"/>
    </row>
    <row r="69" spans="1:57" s="108" customFormat="1" ht="16.5" customHeight="1" x14ac:dyDescent="0.2">
      <c r="A69" s="717"/>
      <c r="B69" s="639"/>
      <c r="C69" s="678"/>
      <c r="D69" s="485">
        <v>2025</v>
      </c>
      <c r="E69" s="493">
        <f t="shared" si="22"/>
        <v>5.6985999999999999</v>
      </c>
      <c r="F69" s="493">
        <v>5.6985999999999999</v>
      </c>
      <c r="G69" s="493">
        <v>0</v>
      </c>
      <c r="H69" s="493">
        <v>0</v>
      </c>
      <c r="I69" s="493">
        <v>0</v>
      </c>
      <c r="J69" s="493">
        <v>0</v>
      </c>
      <c r="K69" s="52">
        <f t="shared" si="2"/>
        <v>5.6985999999999999</v>
      </c>
      <c r="L69" s="106"/>
      <c r="M69" s="101"/>
      <c r="N69" s="63"/>
      <c r="O69" s="64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107"/>
    </row>
    <row r="70" spans="1:57" s="108" customFormat="1" ht="16.5" customHeight="1" x14ac:dyDescent="0.2">
      <c r="A70" s="717"/>
      <c r="B70" s="639"/>
      <c r="C70" s="648" t="s">
        <v>864</v>
      </c>
      <c r="D70" s="485">
        <v>2026</v>
      </c>
      <c r="E70" s="493">
        <f t="shared" si="22"/>
        <v>1.2012</v>
      </c>
      <c r="F70" s="493">
        <v>1.2012</v>
      </c>
      <c r="G70" s="493">
        <v>0</v>
      </c>
      <c r="H70" s="493">
        <v>0</v>
      </c>
      <c r="I70" s="493">
        <v>0</v>
      </c>
      <c r="J70" s="493">
        <v>0</v>
      </c>
      <c r="K70" s="52">
        <f t="shared" si="2"/>
        <v>1.2012</v>
      </c>
      <c r="L70" s="106"/>
      <c r="M70" s="101"/>
      <c r="N70" s="63"/>
      <c r="O70" s="64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107"/>
    </row>
    <row r="71" spans="1:57" s="108" customFormat="1" ht="16.5" customHeight="1" x14ac:dyDescent="0.2">
      <c r="A71" s="717"/>
      <c r="B71" s="639"/>
      <c r="C71" s="648"/>
      <c r="D71" s="485">
        <v>2027</v>
      </c>
      <c r="E71" s="493">
        <f t="shared" si="22"/>
        <v>2.1476000000000002</v>
      </c>
      <c r="F71" s="493">
        <v>2.1476000000000002</v>
      </c>
      <c r="G71" s="493">
        <v>0</v>
      </c>
      <c r="H71" s="493">
        <v>0</v>
      </c>
      <c r="I71" s="493">
        <v>0</v>
      </c>
      <c r="J71" s="493">
        <v>0</v>
      </c>
      <c r="K71" s="52">
        <f t="shared" si="2"/>
        <v>2.1476000000000002</v>
      </c>
      <c r="L71" s="106"/>
      <c r="M71" s="101"/>
      <c r="N71" s="63"/>
      <c r="O71" s="64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107"/>
    </row>
    <row r="72" spans="1:57" s="108" customFormat="1" ht="16.5" customHeight="1" x14ac:dyDescent="0.2">
      <c r="A72" s="717"/>
      <c r="B72" s="639"/>
      <c r="C72" s="648"/>
      <c r="D72" s="485">
        <v>2028</v>
      </c>
      <c r="E72" s="493">
        <f t="shared" si="22"/>
        <v>1.6744000000000001</v>
      </c>
      <c r="F72" s="493">
        <v>1.6744000000000001</v>
      </c>
      <c r="G72" s="493">
        <v>0</v>
      </c>
      <c r="H72" s="493">
        <v>0</v>
      </c>
      <c r="I72" s="493">
        <v>0</v>
      </c>
      <c r="J72" s="493">
        <v>0</v>
      </c>
      <c r="K72" s="52">
        <f t="shared" si="2"/>
        <v>1.6744000000000001</v>
      </c>
      <c r="L72" s="106"/>
      <c r="M72" s="101"/>
      <c r="N72" s="63"/>
      <c r="O72" s="64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107"/>
    </row>
    <row r="73" spans="1:57" s="108" customFormat="1" ht="16.5" customHeight="1" x14ac:dyDescent="0.2">
      <c r="A73" s="717"/>
      <c r="B73" s="639"/>
      <c r="C73" s="648"/>
      <c r="D73" s="485">
        <v>2029</v>
      </c>
      <c r="E73" s="493">
        <f t="shared" si="22"/>
        <v>1.2012</v>
      </c>
      <c r="F73" s="493">
        <v>1.2012</v>
      </c>
      <c r="G73" s="493">
        <v>0</v>
      </c>
      <c r="H73" s="493">
        <v>0</v>
      </c>
      <c r="I73" s="493">
        <v>0</v>
      </c>
      <c r="J73" s="493">
        <v>0</v>
      </c>
      <c r="K73" s="52">
        <f t="shared" si="2"/>
        <v>1.2012</v>
      </c>
      <c r="L73" s="106"/>
      <c r="M73" s="101"/>
      <c r="N73" s="63"/>
      <c r="O73" s="64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107"/>
    </row>
    <row r="74" spans="1:57" s="90" customFormat="1" ht="16.5" customHeight="1" x14ac:dyDescent="0.2">
      <c r="A74" s="717"/>
      <c r="B74" s="640"/>
      <c r="C74" s="632"/>
      <c r="D74" s="470">
        <v>2030</v>
      </c>
      <c r="E74" s="493">
        <f t="shared" si="22"/>
        <v>2.1476000000000002</v>
      </c>
      <c r="F74" s="567">
        <v>2.1476000000000002</v>
      </c>
      <c r="G74" s="567">
        <v>0</v>
      </c>
      <c r="H74" s="567">
        <v>0</v>
      </c>
      <c r="I74" s="567">
        <v>0</v>
      </c>
      <c r="J74" s="567">
        <v>0</v>
      </c>
      <c r="K74" s="52">
        <f t="shared" ref="K74:K136" si="23">F74+G74+H74+I74+J74</f>
        <v>2.1476000000000002</v>
      </c>
      <c r="L74" s="560"/>
      <c r="M74" s="49"/>
      <c r="N74" s="64"/>
      <c r="O74" s="632"/>
    </row>
    <row r="75" spans="1:57" s="202" customFormat="1" x14ac:dyDescent="0.2">
      <c r="A75" s="731" t="s">
        <v>603</v>
      </c>
      <c r="B75" s="649" t="s">
        <v>200</v>
      </c>
      <c r="C75" s="649"/>
      <c r="D75" s="59" t="s">
        <v>198</v>
      </c>
      <c r="E75" s="47">
        <f>SUM(E76:E87)</f>
        <v>1981.9738699999998</v>
      </c>
      <c r="F75" s="96">
        <f>SUM(F76:F87)</f>
        <v>235.30709999999996</v>
      </c>
      <c r="G75" s="96">
        <f>SUM(G76:G87)</f>
        <v>187.52909999999997</v>
      </c>
      <c r="H75" s="96">
        <f>SUM(H76:H87)</f>
        <v>1559.1376700000001</v>
      </c>
      <c r="I75" s="96">
        <f t="shared" ref="I75:J75" si="24">SUM(I76:I87)</f>
        <v>0</v>
      </c>
      <c r="J75" s="96">
        <f t="shared" si="24"/>
        <v>0</v>
      </c>
      <c r="K75" s="52">
        <f t="shared" si="23"/>
        <v>1981.97387</v>
      </c>
      <c r="L75" s="55"/>
      <c r="M75" s="198"/>
      <c r="N75" s="199"/>
      <c r="O75" s="200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201"/>
    </row>
    <row r="76" spans="1:57" s="90" customFormat="1" ht="13.5" customHeight="1" x14ac:dyDescent="0.2">
      <c r="A76" s="782"/>
      <c r="B76" s="701"/>
      <c r="C76" s="701"/>
      <c r="D76" s="46">
        <v>2019</v>
      </c>
      <c r="E76" s="47">
        <f>E92+E125+E196+E198+E224+E233+E236+E238+E240+E244+E246+E250+E252+E254+E150+E226+E242+E248</f>
        <v>231.41260000000003</v>
      </c>
      <c r="F76" s="47">
        <f t="shared" ref="F76:J76" si="25">F92+F125+F196+F198+F224+F233+F236+F238+F240+F244+F246+F250+F252+F254+F150+F226+F242+F248</f>
        <v>52.571899999999985</v>
      </c>
      <c r="G76" s="47">
        <f t="shared" si="25"/>
        <v>0</v>
      </c>
      <c r="H76" s="47">
        <f t="shared" si="25"/>
        <v>178.84070000000003</v>
      </c>
      <c r="I76" s="47">
        <f t="shared" si="25"/>
        <v>0</v>
      </c>
      <c r="J76" s="47">
        <f t="shared" si="25"/>
        <v>0</v>
      </c>
      <c r="K76" s="52">
        <f t="shared" si="23"/>
        <v>231.4126</v>
      </c>
      <c r="L76" s="55"/>
      <c r="M76" s="50"/>
      <c r="N76" s="51"/>
      <c r="O76" s="49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9"/>
    </row>
    <row r="77" spans="1:57" s="90" customFormat="1" ht="13.5" customHeight="1" x14ac:dyDescent="0.2">
      <c r="A77" s="782"/>
      <c r="B77" s="701"/>
      <c r="C77" s="701"/>
      <c r="D77" s="46">
        <v>2020</v>
      </c>
      <c r="E77" s="47">
        <f>E93+E126+E151+E160+E163+E166+E169+E172+E193+E227+E234+E260+E265</f>
        <v>477.02160000000003</v>
      </c>
      <c r="F77" s="47">
        <f t="shared" ref="F77:H77" si="26">F93+F126+F151+F160+F163+F166+F169+F172+F193+F227+F234+F260+F265</f>
        <v>31.328599999999998</v>
      </c>
      <c r="G77" s="47">
        <f t="shared" si="26"/>
        <v>54.491300000000003</v>
      </c>
      <c r="H77" s="47">
        <f t="shared" si="26"/>
        <v>391.20170000000002</v>
      </c>
      <c r="I77" s="47">
        <f t="shared" ref="I77:J77" si="27">I93+I126+I151+I160+I163+I166+I169+I172+I193+I227+I234+I260+I265</f>
        <v>0</v>
      </c>
      <c r="J77" s="47">
        <f t="shared" si="27"/>
        <v>0</v>
      </c>
      <c r="K77" s="52">
        <f t="shared" si="23"/>
        <v>477.02160000000003</v>
      </c>
      <c r="L77" s="55"/>
      <c r="M77" s="50"/>
      <c r="N77" s="51"/>
      <c r="O77" s="49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9"/>
    </row>
    <row r="78" spans="1:57" s="90" customFormat="1" ht="13.5" customHeight="1" x14ac:dyDescent="0.2">
      <c r="A78" s="782"/>
      <c r="B78" s="701"/>
      <c r="C78" s="701"/>
      <c r="D78" s="46">
        <v>2021</v>
      </c>
      <c r="E78" s="47">
        <f>E94+E116+E127+E152+E194+E266+E262</f>
        <v>186.45570000000001</v>
      </c>
      <c r="F78" s="47">
        <f t="shared" ref="F78:H78" si="28">F94+F116+F127+F152+F194+F266+F262</f>
        <v>7.1031000000000004</v>
      </c>
      <c r="G78" s="47">
        <f t="shared" si="28"/>
        <v>132.74589999999998</v>
      </c>
      <c r="H78" s="47">
        <f t="shared" si="28"/>
        <v>46.606700000000004</v>
      </c>
      <c r="I78" s="47">
        <f t="shared" ref="I78:J78" si="29">I94+I116+I127+I152+I194+I266+I262</f>
        <v>0</v>
      </c>
      <c r="J78" s="47">
        <f t="shared" si="29"/>
        <v>0</v>
      </c>
      <c r="K78" s="52">
        <f t="shared" si="23"/>
        <v>186.45569999999998</v>
      </c>
      <c r="L78" s="55"/>
      <c r="M78" s="50"/>
      <c r="N78" s="51"/>
      <c r="O78" s="49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9"/>
    </row>
    <row r="79" spans="1:57" s="90" customFormat="1" ht="13.5" customHeight="1" x14ac:dyDescent="0.2">
      <c r="A79" s="782"/>
      <c r="B79" s="701"/>
      <c r="C79" s="701"/>
      <c r="D79" s="46">
        <v>2022</v>
      </c>
      <c r="E79" s="47">
        <f>E95+E111+E128+E263+E267</f>
        <v>7.7050999999999998</v>
      </c>
      <c r="F79" s="47">
        <f t="shared" ref="F79:H79" si="30">F95+F111+F128+F263+F267</f>
        <v>1.0173000000000001</v>
      </c>
      <c r="G79" s="47">
        <f t="shared" si="30"/>
        <v>0.29189999999999999</v>
      </c>
      <c r="H79" s="47">
        <f t="shared" si="30"/>
        <v>6.3959000000000001</v>
      </c>
      <c r="I79" s="47">
        <f t="shared" ref="I79:J79" si="31">I95+I111+I128+I263+I267</f>
        <v>0</v>
      </c>
      <c r="J79" s="47">
        <f t="shared" si="31"/>
        <v>0</v>
      </c>
      <c r="K79" s="52">
        <f t="shared" si="23"/>
        <v>7.7050999999999998</v>
      </c>
      <c r="L79" s="55"/>
      <c r="M79" s="50"/>
      <c r="N79" s="51"/>
      <c r="O79" s="49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9"/>
    </row>
    <row r="80" spans="1:57" s="90" customFormat="1" ht="13.5" customHeight="1" x14ac:dyDescent="0.2">
      <c r="A80" s="782"/>
      <c r="B80" s="701"/>
      <c r="C80" s="701"/>
      <c r="D80" s="46">
        <v>2023</v>
      </c>
      <c r="E80" s="47">
        <f>E186</f>
        <v>102.9495</v>
      </c>
      <c r="F80" s="47">
        <f t="shared" ref="F80:H80" si="32">F186</f>
        <v>5.1475</v>
      </c>
      <c r="G80" s="47">
        <f t="shared" si="32"/>
        <v>0</v>
      </c>
      <c r="H80" s="47">
        <f t="shared" si="32"/>
        <v>97.802000000000007</v>
      </c>
      <c r="I80" s="47">
        <f t="shared" ref="I80" si="33">I186</f>
        <v>0</v>
      </c>
      <c r="J80" s="47">
        <f t="shared" ref="J80" si="34">J186</f>
        <v>0</v>
      </c>
      <c r="K80" s="52">
        <f t="shared" si="23"/>
        <v>102.9495</v>
      </c>
      <c r="L80" s="55"/>
      <c r="M80" s="50"/>
      <c r="N80" s="51"/>
      <c r="O80" s="49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9"/>
    </row>
    <row r="81" spans="1:57" s="90" customFormat="1" ht="13.5" customHeight="1" x14ac:dyDescent="0.2">
      <c r="A81" s="782"/>
      <c r="B81" s="701"/>
      <c r="C81" s="701"/>
      <c r="D81" s="46">
        <v>2024</v>
      </c>
      <c r="E81" s="47">
        <f>E96+E108+E117+E187</f>
        <v>151.773</v>
      </c>
      <c r="F81" s="47">
        <f t="shared" ref="F81:H81" si="35">F96+F108+F117+F187</f>
        <v>9.2729999999999997</v>
      </c>
      <c r="G81" s="47">
        <f t="shared" si="35"/>
        <v>0</v>
      </c>
      <c r="H81" s="47">
        <f t="shared" si="35"/>
        <v>142.5</v>
      </c>
      <c r="I81" s="47">
        <f t="shared" ref="I81:J81" si="36">I96+I108+I117+I187</f>
        <v>0</v>
      </c>
      <c r="J81" s="47">
        <f t="shared" si="36"/>
        <v>0</v>
      </c>
      <c r="K81" s="52">
        <f t="shared" si="23"/>
        <v>151.773</v>
      </c>
      <c r="L81" s="55"/>
      <c r="M81" s="50"/>
      <c r="N81" s="51"/>
      <c r="O81" s="49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9"/>
    </row>
    <row r="82" spans="1:57" s="90" customFormat="1" ht="13.5" customHeight="1" x14ac:dyDescent="0.2">
      <c r="A82" s="782"/>
      <c r="B82" s="701"/>
      <c r="C82" s="701"/>
      <c r="D82" s="46">
        <v>2025</v>
      </c>
      <c r="E82" s="47">
        <f>E188</f>
        <v>28</v>
      </c>
      <c r="F82" s="47">
        <f t="shared" ref="F82:H82" si="37">F188</f>
        <v>1.4</v>
      </c>
      <c r="G82" s="47">
        <f t="shared" si="37"/>
        <v>0</v>
      </c>
      <c r="H82" s="47">
        <f t="shared" si="37"/>
        <v>26.6</v>
      </c>
      <c r="I82" s="47">
        <f t="shared" ref="I82:J82" si="38">I188</f>
        <v>0</v>
      </c>
      <c r="J82" s="47">
        <f t="shared" si="38"/>
        <v>0</v>
      </c>
      <c r="K82" s="52">
        <f t="shared" si="23"/>
        <v>28</v>
      </c>
      <c r="L82" s="55"/>
      <c r="M82" s="50"/>
      <c r="N82" s="51"/>
      <c r="O82" s="49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9"/>
    </row>
    <row r="83" spans="1:57" s="90" customFormat="1" ht="13.5" customHeight="1" x14ac:dyDescent="0.2">
      <c r="A83" s="782"/>
      <c r="B83" s="701"/>
      <c r="C83" s="701"/>
      <c r="D83" s="46">
        <v>2026</v>
      </c>
      <c r="E83" s="47">
        <f>E89+E97+E101+E104+E118+E129+E154+E157+E183+E190+E200+E203+E206+E209+E212+E215+E218+E221+E229+E258+E256</f>
        <v>185.0292</v>
      </c>
      <c r="F83" s="47">
        <f t="shared" ref="F83:H83" si="39">F89+F97+F101+F104+F118+F129+F154+F157+F183+F190+F200+F203+F206+F209+F212+F215+F218+F221+F229+F258+F256</f>
        <v>96.969200000000001</v>
      </c>
      <c r="G83" s="47">
        <f t="shared" si="39"/>
        <v>0</v>
      </c>
      <c r="H83" s="47">
        <f t="shared" si="39"/>
        <v>88.06</v>
      </c>
      <c r="I83" s="47">
        <f t="shared" ref="I83:J83" si="40">I89+I97+I101+I104+I118+I129+I154+I157+I183+I190+I200+I203+I206+I209+I212+I215+I218+I221+I229+I258+I256</f>
        <v>0</v>
      </c>
      <c r="J83" s="47">
        <f t="shared" si="40"/>
        <v>0</v>
      </c>
      <c r="K83" s="52">
        <f t="shared" si="23"/>
        <v>185.0292</v>
      </c>
      <c r="L83" s="55"/>
      <c r="M83" s="50"/>
      <c r="N83" s="51"/>
      <c r="O83" s="49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9"/>
    </row>
    <row r="84" spans="1:57" s="90" customFormat="1" ht="13.5" customHeight="1" x14ac:dyDescent="0.2">
      <c r="A84" s="782"/>
      <c r="B84" s="701"/>
      <c r="C84" s="701"/>
      <c r="D84" s="46">
        <v>2027</v>
      </c>
      <c r="E84" s="47">
        <f>E119+E138+E142+E155+E158+E184+E191+E201+E204+E207+E210+E213+E216+E219+E222+E230+E134</f>
        <v>452.2407</v>
      </c>
      <c r="F84" s="47">
        <f t="shared" ref="F84:H84" si="41">F119+F138+F142+F155+F158+F184+F191+F201+F204+F207+F210+F213+F216+F219+F222+F230+F134</f>
        <v>20.567599999999999</v>
      </c>
      <c r="G84" s="47">
        <f t="shared" si="41"/>
        <v>0</v>
      </c>
      <c r="H84" s="47">
        <f t="shared" si="41"/>
        <v>431.67309999999998</v>
      </c>
      <c r="I84" s="47">
        <f t="shared" ref="I84:J84" si="42">I119+I138+I142+I155+I158+I184+I191+I201+I204+I207+I210+I213+I216+I219+I222+I230</f>
        <v>0</v>
      </c>
      <c r="J84" s="47">
        <f t="shared" si="42"/>
        <v>0</v>
      </c>
      <c r="K84" s="52">
        <f t="shared" si="23"/>
        <v>452.24069999999995</v>
      </c>
      <c r="L84" s="55"/>
      <c r="M84" s="50"/>
      <c r="N84" s="51"/>
      <c r="O84" s="49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9"/>
    </row>
    <row r="85" spans="1:57" s="90" customFormat="1" ht="13.5" customHeight="1" x14ac:dyDescent="0.2">
      <c r="A85" s="782"/>
      <c r="B85" s="701"/>
      <c r="C85" s="701"/>
      <c r="D85" s="46">
        <v>2028</v>
      </c>
      <c r="E85" s="47">
        <f>E98+E109+E131+E231</f>
        <v>156.98246999999998</v>
      </c>
      <c r="F85" s="47">
        <f t="shared" ref="F85:H85" si="43">F98+F109+F131+F231</f>
        <v>7.5248999999999988</v>
      </c>
      <c r="G85" s="47">
        <f t="shared" si="43"/>
        <v>0</v>
      </c>
      <c r="H85" s="47">
        <f t="shared" si="43"/>
        <v>149.45756999999998</v>
      </c>
      <c r="I85" s="47">
        <f t="shared" ref="I85:J85" si="44">I98+I109+I131+I231</f>
        <v>0</v>
      </c>
      <c r="J85" s="47">
        <f t="shared" si="44"/>
        <v>0</v>
      </c>
      <c r="K85" s="52">
        <f t="shared" si="23"/>
        <v>156.98246999999998</v>
      </c>
      <c r="L85" s="55"/>
      <c r="M85" s="50"/>
      <c r="N85" s="51"/>
      <c r="O85" s="49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9"/>
    </row>
    <row r="86" spans="1:57" s="90" customFormat="1" ht="13.5" customHeight="1" x14ac:dyDescent="0.2">
      <c r="A86" s="782"/>
      <c r="B86" s="701"/>
      <c r="C86" s="701"/>
      <c r="D86" s="46">
        <v>2029</v>
      </c>
      <c r="E86" s="47">
        <f>E181</f>
        <v>0</v>
      </c>
      <c r="F86" s="47">
        <f t="shared" ref="F86:J86" si="45">F181</f>
        <v>0</v>
      </c>
      <c r="G86" s="47">
        <f t="shared" si="45"/>
        <v>0</v>
      </c>
      <c r="H86" s="47">
        <f t="shared" si="45"/>
        <v>0</v>
      </c>
      <c r="I86" s="47">
        <f t="shared" si="45"/>
        <v>0</v>
      </c>
      <c r="J86" s="47">
        <f t="shared" si="45"/>
        <v>0</v>
      </c>
      <c r="K86" s="52">
        <f t="shared" si="23"/>
        <v>0</v>
      </c>
      <c r="L86" s="55"/>
      <c r="M86" s="50"/>
      <c r="N86" s="51"/>
      <c r="O86" s="49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9"/>
    </row>
    <row r="87" spans="1:57" s="90" customFormat="1" ht="13.5" customHeight="1" x14ac:dyDescent="0.2">
      <c r="A87" s="939"/>
      <c r="B87" s="702"/>
      <c r="C87" s="702"/>
      <c r="D87" s="46">
        <v>2030</v>
      </c>
      <c r="E87" s="47">
        <f>E90+E99+E102+E105+E110</f>
        <v>2.4039999999999999</v>
      </c>
      <c r="F87" s="47">
        <f t="shared" ref="F87:J87" si="46">F90+F99+F102+F105+F110</f>
        <v>2.4039999999999999</v>
      </c>
      <c r="G87" s="47">
        <f t="shared" si="46"/>
        <v>0</v>
      </c>
      <c r="H87" s="47">
        <f t="shared" si="46"/>
        <v>0</v>
      </c>
      <c r="I87" s="47">
        <f t="shared" si="46"/>
        <v>0</v>
      </c>
      <c r="J87" s="47">
        <f t="shared" si="46"/>
        <v>0</v>
      </c>
      <c r="K87" s="52">
        <f t="shared" si="23"/>
        <v>2.4039999999999999</v>
      </c>
      <c r="L87" s="55"/>
      <c r="M87" s="50"/>
      <c r="N87" s="51"/>
      <c r="O87" s="49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9"/>
    </row>
    <row r="88" spans="1:57" s="48" customFormat="1" ht="44.25" customHeight="1" x14ac:dyDescent="0.2">
      <c r="A88" s="697" t="s">
        <v>374</v>
      </c>
      <c r="B88" s="705" t="s">
        <v>489</v>
      </c>
      <c r="C88" s="502" t="s">
        <v>986</v>
      </c>
      <c r="D88" s="46" t="s">
        <v>198</v>
      </c>
      <c r="E88" s="47">
        <f>E89+E90</f>
        <v>0.2</v>
      </c>
      <c r="F88" s="47">
        <f t="shared" ref="F88:J88" si="47">F89+F90</f>
        <v>0.2</v>
      </c>
      <c r="G88" s="47">
        <f t="shared" si="47"/>
        <v>0</v>
      </c>
      <c r="H88" s="47">
        <f t="shared" si="47"/>
        <v>0</v>
      </c>
      <c r="I88" s="47">
        <f t="shared" si="47"/>
        <v>0</v>
      </c>
      <c r="J88" s="47">
        <f t="shared" si="47"/>
        <v>0</v>
      </c>
      <c r="K88" s="52">
        <f t="shared" si="23"/>
        <v>0.2</v>
      </c>
      <c r="L88" s="205">
        <v>1</v>
      </c>
      <c r="M88" s="50"/>
      <c r="N88" s="51"/>
      <c r="O88" s="767" t="s">
        <v>187</v>
      </c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6"/>
    </row>
    <row r="89" spans="1:57" s="48" customFormat="1" ht="15" customHeight="1" x14ac:dyDescent="0.2">
      <c r="A89" s="698"/>
      <c r="B89" s="735"/>
      <c r="C89" s="515"/>
      <c r="D89" s="46">
        <v>2026</v>
      </c>
      <c r="E89" s="567">
        <f t="shared" ref="E89:E90" si="48">F89+G89+H89+I89+J89</f>
        <v>0.1</v>
      </c>
      <c r="F89" s="567">
        <v>0.1</v>
      </c>
      <c r="G89" s="567">
        <v>0</v>
      </c>
      <c r="H89" s="567">
        <v>0</v>
      </c>
      <c r="I89" s="567">
        <v>0</v>
      </c>
      <c r="J89" s="567">
        <v>0</v>
      </c>
      <c r="K89" s="52">
        <f t="shared" si="23"/>
        <v>0.1</v>
      </c>
      <c r="L89" s="206">
        <v>0.5</v>
      </c>
      <c r="M89" s="50"/>
      <c r="N89" s="51"/>
      <c r="O89" s="768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6"/>
    </row>
    <row r="90" spans="1:57" s="48" customFormat="1" x14ac:dyDescent="0.2">
      <c r="A90" s="699"/>
      <c r="B90" s="770"/>
      <c r="C90" s="530"/>
      <c r="D90" s="46">
        <v>2030</v>
      </c>
      <c r="E90" s="567">
        <f t="shared" si="48"/>
        <v>0.1</v>
      </c>
      <c r="F90" s="567">
        <v>0.1</v>
      </c>
      <c r="G90" s="567">
        <v>0</v>
      </c>
      <c r="H90" s="567">
        <v>0</v>
      </c>
      <c r="I90" s="567">
        <v>0</v>
      </c>
      <c r="J90" s="567">
        <v>0</v>
      </c>
      <c r="K90" s="52">
        <f t="shared" si="23"/>
        <v>0.1</v>
      </c>
      <c r="L90" s="206">
        <v>1</v>
      </c>
      <c r="M90" s="50"/>
      <c r="N90" s="51"/>
      <c r="O90" s="768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6"/>
    </row>
    <row r="91" spans="1:57" s="48" customFormat="1" ht="23.25" customHeight="1" x14ac:dyDescent="0.2">
      <c r="A91" s="697" t="s">
        <v>375</v>
      </c>
      <c r="B91" s="705" t="s">
        <v>490</v>
      </c>
      <c r="C91" s="137"/>
      <c r="D91" s="46" t="s">
        <v>198</v>
      </c>
      <c r="E91" s="47">
        <f>E92+E93+E94+E95+E96+E97+E98+E99</f>
        <v>6.1117999999999988</v>
      </c>
      <c r="F91" s="47">
        <f t="shared" ref="F91:H91" si="49">F92+F93+F94+F95+F96+F97+F98+F99</f>
        <v>1.1585000000000001</v>
      </c>
      <c r="G91" s="47">
        <f t="shared" si="49"/>
        <v>0</v>
      </c>
      <c r="H91" s="47">
        <f t="shared" si="49"/>
        <v>4.9533000000000005</v>
      </c>
      <c r="I91" s="47">
        <f t="shared" ref="I91:J91" si="50">I92+I93+I94+I95+I96+I97+I98+I99</f>
        <v>0</v>
      </c>
      <c r="J91" s="47">
        <f t="shared" si="50"/>
        <v>0</v>
      </c>
      <c r="K91" s="52">
        <f t="shared" si="23"/>
        <v>6.1118000000000006</v>
      </c>
      <c r="L91" s="205">
        <v>1</v>
      </c>
      <c r="M91" s="50"/>
      <c r="N91" s="51"/>
      <c r="O91" s="768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6"/>
    </row>
    <row r="92" spans="1:57" s="48" customFormat="1" ht="23.25" customHeight="1" x14ac:dyDescent="0.2">
      <c r="A92" s="698"/>
      <c r="B92" s="706"/>
      <c r="C92" s="559" t="s">
        <v>384</v>
      </c>
      <c r="D92" s="470">
        <v>2019</v>
      </c>
      <c r="E92" s="567">
        <f>F92+G92+H92</f>
        <v>2.7176</v>
      </c>
      <c r="F92" s="567">
        <v>0.3533</v>
      </c>
      <c r="G92" s="567">
        <v>0</v>
      </c>
      <c r="H92" s="567">
        <v>2.3643000000000001</v>
      </c>
      <c r="I92" s="567">
        <v>0</v>
      </c>
      <c r="J92" s="567">
        <v>0</v>
      </c>
      <c r="K92" s="52">
        <f t="shared" si="23"/>
        <v>2.7176</v>
      </c>
      <c r="L92" s="205"/>
      <c r="M92" s="50"/>
      <c r="N92" s="51"/>
      <c r="O92" s="768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6"/>
    </row>
    <row r="93" spans="1:57" s="48" customFormat="1" ht="11.25" customHeight="1" x14ac:dyDescent="0.2">
      <c r="A93" s="698"/>
      <c r="B93" s="706"/>
      <c r="C93" s="638" t="s">
        <v>984</v>
      </c>
      <c r="D93" s="470">
        <v>2020</v>
      </c>
      <c r="E93" s="567">
        <f>F93+G93+H93</f>
        <v>1.8151999999999999</v>
      </c>
      <c r="F93" s="567">
        <v>0.23630000000000001</v>
      </c>
      <c r="G93" s="567">
        <v>0</v>
      </c>
      <c r="H93" s="567">
        <v>1.5789</v>
      </c>
      <c r="I93" s="567">
        <v>0</v>
      </c>
      <c r="J93" s="567">
        <v>0</v>
      </c>
      <c r="K93" s="52">
        <f t="shared" si="23"/>
        <v>1.8151999999999999</v>
      </c>
      <c r="L93" s="205"/>
      <c r="M93" s="50"/>
      <c r="N93" s="51"/>
      <c r="O93" s="768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6"/>
    </row>
    <row r="94" spans="1:57" s="48" customFormat="1" ht="12.75" customHeight="1" x14ac:dyDescent="0.2">
      <c r="A94" s="698"/>
      <c r="B94" s="706"/>
      <c r="C94" s="639"/>
      <c r="D94" s="470">
        <v>2021</v>
      </c>
      <c r="E94" s="567">
        <f>F94+G94+H94+I94+J94</f>
        <v>0.58950000000000002</v>
      </c>
      <c r="F94" s="567">
        <v>7.6700000000000004E-2</v>
      </c>
      <c r="G94" s="567">
        <v>0</v>
      </c>
      <c r="H94" s="567">
        <v>0.51280000000000003</v>
      </c>
      <c r="I94" s="567">
        <v>0</v>
      </c>
      <c r="J94" s="567">
        <v>0</v>
      </c>
      <c r="K94" s="52">
        <f t="shared" si="23"/>
        <v>0.58950000000000002</v>
      </c>
      <c r="L94" s="206">
        <v>0.25</v>
      </c>
      <c r="M94" s="50"/>
      <c r="N94" s="51"/>
      <c r="O94" s="768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6"/>
    </row>
    <row r="95" spans="1:57" s="48" customFormat="1" x14ac:dyDescent="0.2">
      <c r="A95" s="698"/>
      <c r="B95" s="706"/>
      <c r="C95" s="639"/>
      <c r="D95" s="470">
        <v>2022</v>
      </c>
      <c r="E95" s="567">
        <f>F95+G95+H95+I95+J95</f>
        <v>0.58950000000000002</v>
      </c>
      <c r="F95" s="567">
        <v>9.2200000000000004E-2</v>
      </c>
      <c r="G95" s="567">
        <v>0</v>
      </c>
      <c r="H95" s="567">
        <v>0.49730000000000002</v>
      </c>
      <c r="I95" s="567">
        <v>0</v>
      </c>
      <c r="J95" s="567">
        <v>0</v>
      </c>
      <c r="K95" s="52">
        <f t="shared" si="23"/>
        <v>0.58950000000000002</v>
      </c>
      <c r="L95" s="206">
        <v>0.4</v>
      </c>
      <c r="M95" s="50"/>
      <c r="N95" s="51"/>
      <c r="O95" s="768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6"/>
    </row>
    <row r="96" spans="1:57" s="48" customFormat="1" x14ac:dyDescent="0.2">
      <c r="A96" s="698"/>
      <c r="B96" s="706"/>
      <c r="C96" s="640"/>
      <c r="D96" s="470">
        <v>2024</v>
      </c>
      <c r="E96" s="567">
        <f t="shared" ref="E96:E99" si="51">F96+G96+H96+I96+J96</f>
        <v>0.1</v>
      </c>
      <c r="F96" s="567">
        <v>0.1</v>
      </c>
      <c r="G96" s="567">
        <v>0</v>
      </c>
      <c r="H96" s="567">
        <v>0</v>
      </c>
      <c r="I96" s="567">
        <v>0</v>
      </c>
      <c r="J96" s="567">
        <v>0</v>
      </c>
      <c r="K96" s="52">
        <f t="shared" si="23"/>
        <v>0.1</v>
      </c>
      <c r="L96" s="206">
        <v>0.5</v>
      </c>
      <c r="M96" s="50"/>
      <c r="N96" s="51"/>
      <c r="O96" s="768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6"/>
    </row>
    <row r="97" spans="1:57" s="48" customFormat="1" ht="16.5" customHeight="1" x14ac:dyDescent="0.2">
      <c r="A97" s="698"/>
      <c r="B97" s="706"/>
      <c r="C97" s="631" t="s">
        <v>985</v>
      </c>
      <c r="D97" s="470">
        <v>2026</v>
      </c>
      <c r="E97" s="567">
        <f t="shared" si="51"/>
        <v>0.1</v>
      </c>
      <c r="F97" s="567">
        <v>0.1</v>
      </c>
      <c r="G97" s="567">
        <v>0</v>
      </c>
      <c r="H97" s="567">
        <v>0</v>
      </c>
      <c r="I97" s="567">
        <v>0</v>
      </c>
      <c r="J97" s="567">
        <v>0</v>
      </c>
      <c r="K97" s="52">
        <f t="shared" si="23"/>
        <v>0.1</v>
      </c>
      <c r="L97" s="206">
        <v>0.6</v>
      </c>
      <c r="M97" s="50"/>
      <c r="N97" s="51"/>
      <c r="O97" s="768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6"/>
    </row>
    <row r="98" spans="1:57" s="48" customFormat="1" x14ac:dyDescent="0.2">
      <c r="A98" s="698"/>
      <c r="B98" s="706"/>
      <c r="C98" s="648"/>
      <c r="D98" s="470">
        <v>2028</v>
      </c>
      <c r="E98" s="567">
        <f t="shared" si="51"/>
        <v>0.1</v>
      </c>
      <c r="F98" s="567">
        <v>0.1</v>
      </c>
      <c r="G98" s="567">
        <v>0</v>
      </c>
      <c r="H98" s="567">
        <v>0</v>
      </c>
      <c r="I98" s="567">
        <v>0</v>
      </c>
      <c r="J98" s="567">
        <v>0</v>
      </c>
      <c r="K98" s="52">
        <f t="shared" si="23"/>
        <v>0.1</v>
      </c>
      <c r="L98" s="206">
        <v>0.8</v>
      </c>
      <c r="M98" s="50"/>
      <c r="N98" s="51"/>
      <c r="O98" s="768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6"/>
    </row>
    <row r="99" spans="1:57" s="48" customFormat="1" x14ac:dyDescent="0.2">
      <c r="A99" s="699"/>
      <c r="B99" s="730"/>
      <c r="C99" s="632"/>
      <c r="D99" s="470">
        <v>2030</v>
      </c>
      <c r="E99" s="567">
        <f t="shared" si="51"/>
        <v>0.1</v>
      </c>
      <c r="F99" s="567">
        <v>0.1</v>
      </c>
      <c r="G99" s="567">
        <v>0</v>
      </c>
      <c r="H99" s="567">
        <v>0</v>
      </c>
      <c r="I99" s="567">
        <v>0</v>
      </c>
      <c r="J99" s="567">
        <v>0</v>
      </c>
      <c r="K99" s="52">
        <f t="shared" si="23"/>
        <v>0.1</v>
      </c>
      <c r="L99" s="206">
        <v>1</v>
      </c>
      <c r="M99" s="50"/>
      <c r="N99" s="51"/>
      <c r="O99" s="768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6"/>
    </row>
    <row r="100" spans="1:57" s="48" customFormat="1" ht="12.75" customHeight="1" x14ac:dyDescent="0.2">
      <c r="A100" s="697" t="s">
        <v>376</v>
      </c>
      <c r="B100" s="921" t="s">
        <v>491</v>
      </c>
      <c r="C100" s="137"/>
      <c r="D100" s="46" t="s">
        <v>198</v>
      </c>
      <c r="E100" s="47">
        <f>E101+E102</f>
        <v>0.216</v>
      </c>
      <c r="F100" s="47">
        <f t="shared" ref="F100:H100" si="52">F101+F102</f>
        <v>0.216</v>
      </c>
      <c r="G100" s="47">
        <f t="shared" si="52"/>
        <v>0</v>
      </c>
      <c r="H100" s="47">
        <f t="shared" si="52"/>
        <v>0</v>
      </c>
      <c r="I100" s="47">
        <f t="shared" ref="I100:J100" si="53">I101+I102</f>
        <v>0</v>
      </c>
      <c r="J100" s="47">
        <f t="shared" si="53"/>
        <v>0</v>
      </c>
      <c r="K100" s="52">
        <f t="shared" si="23"/>
        <v>0.216</v>
      </c>
      <c r="L100" s="205">
        <v>1</v>
      </c>
      <c r="M100" s="50"/>
      <c r="N100" s="51"/>
      <c r="O100" s="768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6"/>
    </row>
    <row r="101" spans="1:57" s="48" customFormat="1" x14ac:dyDescent="0.2">
      <c r="A101" s="698"/>
      <c r="B101" s="922"/>
      <c r="C101" s="631" t="s">
        <v>986</v>
      </c>
      <c r="D101" s="470">
        <v>2026</v>
      </c>
      <c r="E101" s="567">
        <f t="shared" ref="E101:E102" si="54">F101+G101+H101+I101+J101</f>
        <v>0.108</v>
      </c>
      <c r="F101" s="567">
        <v>0.108</v>
      </c>
      <c r="G101" s="567">
        <v>0</v>
      </c>
      <c r="H101" s="567">
        <v>0</v>
      </c>
      <c r="I101" s="567">
        <v>0</v>
      </c>
      <c r="J101" s="567">
        <v>0</v>
      </c>
      <c r="K101" s="52">
        <f t="shared" si="23"/>
        <v>0.108</v>
      </c>
      <c r="L101" s="206">
        <v>0.5</v>
      </c>
      <c r="M101" s="50"/>
      <c r="N101" s="51"/>
      <c r="O101" s="768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6"/>
    </row>
    <row r="102" spans="1:57" s="48" customFormat="1" ht="30" customHeight="1" x14ac:dyDescent="0.2">
      <c r="A102" s="699"/>
      <c r="B102" s="923"/>
      <c r="C102" s="632"/>
      <c r="D102" s="470">
        <v>2030</v>
      </c>
      <c r="E102" s="567">
        <f t="shared" si="54"/>
        <v>0.108</v>
      </c>
      <c r="F102" s="567">
        <v>0.108</v>
      </c>
      <c r="G102" s="567">
        <v>0</v>
      </c>
      <c r="H102" s="567">
        <v>0</v>
      </c>
      <c r="I102" s="567">
        <v>0</v>
      </c>
      <c r="J102" s="567">
        <v>0</v>
      </c>
      <c r="K102" s="52">
        <f t="shared" si="23"/>
        <v>0.108</v>
      </c>
      <c r="L102" s="206">
        <v>1</v>
      </c>
      <c r="M102" s="50"/>
      <c r="N102" s="51"/>
      <c r="O102" s="768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6"/>
    </row>
    <row r="103" spans="1:57" s="48" customFormat="1" x14ac:dyDescent="0.2">
      <c r="A103" s="697" t="s">
        <v>377</v>
      </c>
      <c r="B103" s="736" t="s">
        <v>479</v>
      </c>
      <c r="C103" s="631" t="s">
        <v>987</v>
      </c>
      <c r="D103" s="46" t="s">
        <v>198</v>
      </c>
      <c r="E103" s="47">
        <f>E104+E105</f>
        <v>0.20400000000000001</v>
      </c>
      <c r="F103" s="47">
        <f t="shared" ref="F103:J103" si="55">F104+F105</f>
        <v>0.20400000000000001</v>
      </c>
      <c r="G103" s="47">
        <f t="shared" si="55"/>
        <v>0</v>
      </c>
      <c r="H103" s="47">
        <f t="shared" si="55"/>
        <v>0</v>
      </c>
      <c r="I103" s="47">
        <f t="shared" si="55"/>
        <v>0</v>
      </c>
      <c r="J103" s="47">
        <f t="shared" si="55"/>
        <v>0</v>
      </c>
      <c r="K103" s="52">
        <f t="shared" si="23"/>
        <v>0.20400000000000001</v>
      </c>
      <c r="L103" s="205">
        <v>1</v>
      </c>
      <c r="M103" s="50"/>
      <c r="N103" s="51"/>
      <c r="O103" s="768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6"/>
    </row>
    <row r="104" spans="1:57" s="48" customFormat="1" x14ac:dyDescent="0.2">
      <c r="A104" s="698"/>
      <c r="B104" s="737"/>
      <c r="C104" s="648"/>
      <c r="D104" s="470">
        <v>2026</v>
      </c>
      <c r="E104" s="567">
        <f t="shared" ref="E104:E105" si="56">F104+G104+H104+I104+J104</f>
        <v>0.108</v>
      </c>
      <c r="F104" s="567">
        <v>0.108</v>
      </c>
      <c r="G104" s="567">
        <v>0</v>
      </c>
      <c r="H104" s="567">
        <v>0</v>
      </c>
      <c r="I104" s="567">
        <v>0</v>
      </c>
      <c r="J104" s="567">
        <v>0</v>
      </c>
      <c r="K104" s="52">
        <f t="shared" si="23"/>
        <v>0.108</v>
      </c>
      <c r="L104" s="206">
        <v>0.5</v>
      </c>
      <c r="M104" s="50"/>
      <c r="N104" s="51"/>
      <c r="O104" s="768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6"/>
    </row>
    <row r="105" spans="1:57" s="48" customFormat="1" ht="54.75" customHeight="1" x14ac:dyDescent="0.2">
      <c r="A105" s="699"/>
      <c r="B105" s="738"/>
      <c r="C105" s="632"/>
      <c r="D105" s="470">
        <v>2030</v>
      </c>
      <c r="E105" s="567">
        <f t="shared" si="56"/>
        <v>9.6000000000000002E-2</v>
      </c>
      <c r="F105" s="567">
        <v>9.6000000000000002E-2</v>
      </c>
      <c r="G105" s="567">
        <v>0</v>
      </c>
      <c r="H105" s="567">
        <v>0</v>
      </c>
      <c r="I105" s="567">
        <v>0</v>
      </c>
      <c r="J105" s="567">
        <v>0</v>
      </c>
      <c r="K105" s="52">
        <f t="shared" si="23"/>
        <v>9.6000000000000002E-2</v>
      </c>
      <c r="L105" s="206">
        <v>1</v>
      </c>
      <c r="M105" s="50"/>
      <c r="N105" s="51"/>
      <c r="O105" s="768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6"/>
    </row>
    <row r="106" spans="1:57" s="48" customFormat="1" ht="12.75" customHeight="1" x14ac:dyDescent="0.2">
      <c r="A106" s="665" t="s">
        <v>406</v>
      </c>
      <c r="B106" s="847" t="s">
        <v>509</v>
      </c>
      <c r="C106" s="728" t="s">
        <v>984</v>
      </c>
      <c r="D106" s="46" t="s">
        <v>198</v>
      </c>
      <c r="E106" s="47">
        <f>E107+E108+E109+E110</f>
        <v>5.5</v>
      </c>
      <c r="F106" s="47">
        <f t="shared" ref="F106:J106" si="57">F107+F108+F109+F110</f>
        <v>5.5</v>
      </c>
      <c r="G106" s="47">
        <f t="shared" si="57"/>
        <v>0</v>
      </c>
      <c r="H106" s="47">
        <f t="shared" si="57"/>
        <v>0</v>
      </c>
      <c r="I106" s="47">
        <f t="shared" si="57"/>
        <v>0</v>
      </c>
      <c r="J106" s="47">
        <f t="shared" si="57"/>
        <v>0</v>
      </c>
      <c r="K106" s="52">
        <f t="shared" si="23"/>
        <v>5.5</v>
      </c>
      <c r="L106" s="52"/>
      <c r="M106" s="50"/>
      <c r="N106" s="51"/>
      <c r="O106" s="768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6"/>
    </row>
    <row r="107" spans="1:57" s="48" customFormat="1" ht="12.75" customHeight="1" x14ac:dyDescent="0.2">
      <c r="A107" s="629"/>
      <c r="B107" s="924"/>
      <c r="C107" s="729"/>
      <c r="D107" s="46">
        <v>2022</v>
      </c>
      <c r="E107" s="567">
        <f t="shared" ref="E107:E114" si="58">F107+G107+H107+I107+J107</f>
        <v>0</v>
      </c>
      <c r="F107" s="567">
        <f>F111</f>
        <v>0</v>
      </c>
      <c r="G107" s="567">
        <v>0</v>
      </c>
      <c r="H107" s="567">
        <v>0</v>
      </c>
      <c r="I107" s="567">
        <v>0</v>
      </c>
      <c r="J107" s="567">
        <v>0</v>
      </c>
      <c r="K107" s="52">
        <f t="shared" si="23"/>
        <v>0</v>
      </c>
      <c r="L107" s="53"/>
      <c r="M107" s="50"/>
      <c r="N107" s="51"/>
      <c r="O107" s="768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6"/>
    </row>
    <row r="108" spans="1:57" s="48" customFormat="1" ht="18.75" customHeight="1" x14ac:dyDescent="0.2">
      <c r="A108" s="629"/>
      <c r="B108" s="924"/>
      <c r="C108" s="729"/>
      <c r="D108" s="46">
        <v>2024</v>
      </c>
      <c r="E108" s="567">
        <f t="shared" si="58"/>
        <v>1.5</v>
      </c>
      <c r="F108" s="567">
        <v>1.5</v>
      </c>
      <c r="G108" s="567">
        <v>0</v>
      </c>
      <c r="H108" s="567">
        <v>0</v>
      </c>
      <c r="I108" s="567">
        <v>0</v>
      </c>
      <c r="J108" s="567">
        <v>0</v>
      </c>
      <c r="K108" s="52">
        <f t="shared" si="23"/>
        <v>1.5</v>
      </c>
      <c r="L108" s="53"/>
      <c r="M108" s="50"/>
      <c r="N108" s="51"/>
      <c r="O108" s="768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6"/>
    </row>
    <row r="109" spans="1:57" s="48" customFormat="1" ht="15" customHeight="1" x14ac:dyDescent="0.2">
      <c r="A109" s="629"/>
      <c r="B109" s="924"/>
      <c r="C109" s="727" t="s">
        <v>986</v>
      </c>
      <c r="D109" s="46">
        <v>2028</v>
      </c>
      <c r="E109" s="567">
        <f t="shared" si="58"/>
        <v>2</v>
      </c>
      <c r="F109" s="567">
        <v>2</v>
      </c>
      <c r="G109" s="567">
        <v>0</v>
      </c>
      <c r="H109" s="567">
        <v>0</v>
      </c>
      <c r="I109" s="567">
        <v>0</v>
      </c>
      <c r="J109" s="567">
        <v>0</v>
      </c>
      <c r="K109" s="52">
        <f t="shared" si="23"/>
        <v>2</v>
      </c>
      <c r="L109" s="53"/>
      <c r="M109" s="50"/>
      <c r="N109" s="51"/>
      <c r="O109" s="768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6"/>
    </row>
    <row r="110" spans="1:57" s="48" customFormat="1" x14ac:dyDescent="0.2">
      <c r="A110" s="629"/>
      <c r="B110" s="924"/>
      <c r="C110" s="727"/>
      <c r="D110" s="46">
        <v>2030</v>
      </c>
      <c r="E110" s="567">
        <f t="shared" si="58"/>
        <v>2</v>
      </c>
      <c r="F110" s="567">
        <v>2</v>
      </c>
      <c r="G110" s="567">
        <v>0</v>
      </c>
      <c r="H110" s="567">
        <v>0</v>
      </c>
      <c r="I110" s="567">
        <v>0</v>
      </c>
      <c r="J110" s="567">
        <v>0</v>
      </c>
      <c r="K110" s="52">
        <f t="shared" si="23"/>
        <v>2</v>
      </c>
      <c r="L110" s="53"/>
      <c r="M110" s="50"/>
      <c r="N110" s="51"/>
      <c r="O110" s="768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6"/>
    </row>
    <row r="111" spans="1:57" s="48" customFormat="1" ht="27" customHeight="1" x14ac:dyDescent="0.2">
      <c r="A111" s="484" t="s">
        <v>616</v>
      </c>
      <c r="B111" s="208" t="s">
        <v>502</v>
      </c>
      <c r="C111" s="727" t="s">
        <v>984</v>
      </c>
      <c r="D111" s="470">
        <v>2022</v>
      </c>
      <c r="E111" s="567">
        <f t="shared" si="58"/>
        <v>0</v>
      </c>
      <c r="F111" s="567">
        <v>0</v>
      </c>
      <c r="G111" s="567">
        <v>0</v>
      </c>
      <c r="H111" s="567">
        <v>0</v>
      </c>
      <c r="I111" s="567">
        <v>0</v>
      </c>
      <c r="J111" s="567">
        <v>0</v>
      </c>
      <c r="K111" s="52">
        <f t="shared" si="23"/>
        <v>0</v>
      </c>
      <c r="L111" s="53" t="s">
        <v>503</v>
      </c>
      <c r="M111" s="50"/>
      <c r="N111" s="51"/>
      <c r="O111" s="768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6"/>
    </row>
    <row r="112" spans="1:57" s="48" customFormat="1" ht="27.75" customHeight="1" x14ac:dyDescent="0.2">
      <c r="A112" s="497" t="s">
        <v>617</v>
      </c>
      <c r="B112" s="564" t="s">
        <v>504</v>
      </c>
      <c r="C112" s="727"/>
      <c r="D112" s="470">
        <v>2024</v>
      </c>
      <c r="E112" s="567">
        <f t="shared" si="58"/>
        <v>1.5</v>
      </c>
      <c r="F112" s="567">
        <v>1.5</v>
      </c>
      <c r="G112" s="567">
        <v>0</v>
      </c>
      <c r="H112" s="567">
        <v>0</v>
      </c>
      <c r="I112" s="567">
        <v>0</v>
      </c>
      <c r="J112" s="567">
        <v>0</v>
      </c>
      <c r="K112" s="52">
        <f t="shared" si="23"/>
        <v>1.5</v>
      </c>
      <c r="L112" s="53" t="s">
        <v>503</v>
      </c>
      <c r="M112" s="50"/>
      <c r="N112" s="51"/>
      <c r="O112" s="768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6"/>
    </row>
    <row r="113" spans="1:57" s="48" customFormat="1" ht="25.5" x14ac:dyDescent="0.2">
      <c r="A113" s="497" t="s">
        <v>618</v>
      </c>
      <c r="B113" s="564" t="s">
        <v>505</v>
      </c>
      <c r="C113" s="727" t="s">
        <v>986</v>
      </c>
      <c r="D113" s="470">
        <v>2028</v>
      </c>
      <c r="E113" s="567">
        <f t="shared" si="58"/>
        <v>2</v>
      </c>
      <c r="F113" s="567">
        <v>2</v>
      </c>
      <c r="G113" s="567">
        <v>0</v>
      </c>
      <c r="H113" s="567">
        <v>0</v>
      </c>
      <c r="I113" s="567">
        <v>0</v>
      </c>
      <c r="J113" s="567">
        <v>0</v>
      </c>
      <c r="K113" s="52">
        <f t="shared" si="23"/>
        <v>2</v>
      </c>
      <c r="L113" s="53" t="s">
        <v>503</v>
      </c>
      <c r="M113" s="50"/>
      <c r="N113" s="51"/>
      <c r="O113" s="768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6"/>
    </row>
    <row r="114" spans="1:57" s="48" customFormat="1" ht="27" customHeight="1" x14ac:dyDescent="0.2">
      <c r="A114" s="497" t="s">
        <v>619</v>
      </c>
      <c r="B114" s="564" t="s">
        <v>506</v>
      </c>
      <c r="C114" s="727"/>
      <c r="D114" s="470">
        <v>2030</v>
      </c>
      <c r="E114" s="567">
        <f t="shared" si="58"/>
        <v>2</v>
      </c>
      <c r="F114" s="567">
        <v>2</v>
      </c>
      <c r="G114" s="567">
        <v>0</v>
      </c>
      <c r="H114" s="567">
        <v>0</v>
      </c>
      <c r="I114" s="567">
        <v>0</v>
      </c>
      <c r="J114" s="567">
        <v>0</v>
      </c>
      <c r="K114" s="52">
        <f t="shared" si="23"/>
        <v>2</v>
      </c>
      <c r="L114" s="53" t="s">
        <v>503</v>
      </c>
      <c r="M114" s="50"/>
      <c r="N114" s="51"/>
      <c r="O114" s="768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6"/>
    </row>
    <row r="115" spans="1:57" s="48" customFormat="1" x14ac:dyDescent="0.2">
      <c r="A115" s="698" t="s">
        <v>410</v>
      </c>
      <c r="B115" s="648" t="s">
        <v>480</v>
      </c>
      <c r="C115" s="705" t="s">
        <v>1109</v>
      </c>
      <c r="D115" s="46" t="s">
        <v>198</v>
      </c>
      <c r="E115" s="47">
        <f>E116+E117+E118+E119</f>
        <v>1.2239</v>
      </c>
      <c r="F115" s="47">
        <f t="shared" ref="F115:H115" si="59">F116+F117+F118+F119</f>
        <v>1.2239</v>
      </c>
      <c r="G115" s="47">
        <f t="shared" si="59"/>
        <v>0</v>
      </c>
      <c r="H115" s="47">
        <f t="shared" si="59"/>
        <v>0</v>
      </c>
      <c r="I115" s="47">
        <f t="shared" ref="I115:J115" si="60">I116+I117+I118+I119</f>
        <v>0</v>
      </c>
      <c r="J115" s="47">
        <f t="shared" si="60"/>
        <v>0</v>
      </c>
      <c r="K115" s="52">
        <f t="shared" si="23"/>
        <v>1.2239</v>
      </c>
      <c r="L115" s="52"/>
      <c r="M115" s="50"/>
      <c r="N115" s="51"/>
      <c r="O115" s="499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6"/>
    </row>
    <row r="116" spans="1:57" s="48" customFormat="1" x14ac:dyDescent="0.2">
      <c r="A116" s="698"/>
      <c r="B116" s="648"/>
      <c r="C116" s="706"/>
      <c r="D116" s="46">
        <v>2021</v>
      </c>
      <c r="E116" s="567">
        <f>F116+G116+H116+I116+J116</f>
        <v>8.09E-2</v>
      </c>
      <c r="F116" s="567">
        <f>F120</f>
        <v>8.09E-2</v>
      </c>
      <c r="G116" s="567">
        <v>0</v>
      </c>
      <c r="H116" s="567">
        <v>0</v>
      </c>
      <c r="I116" s="567">
        <v>0</v>
      </c>
      <c r="J116" s="567">
        <v>0</v>
      </c>
      <c r="K116" s="52">
        <f t="shared" si="23"/>
        <v>8.09E-2</v>
      </c>
      <c r="L116" s="52"/>
      <c r="M116" s="50"/>
      <c r="N116" s="51"/>
      <c r="O116" s="499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6"/>
    </row>
    <row r="117" spans="1:57" s="48" customFormat="1" x14ac:dyDescent="0.2">
      <c r="A117" s="698"/>
      <c r="B117" s="648"/>
      <c r="C117" s="706"/>
      <c r="D117" s="46">
        <v>2024</v>
      </c>
      <c r="E117" s="567">
        <f t="shared" ref="E117:E119" si="61">F117+G117+H117+I117+J117</f>
        <v>0.17299999999999999</v>
      </c>
      <c r="F117" s="567">
        <f>F121</f>
        <v>0.17299999999999999</v>
      </c>
      <c r="G117" s="567">
        <v>0</v>
      </c>
      <c r="H117" s="567">
        <v>0</v>
      </c>
      <c r="I117" s="567">
        <v>0</v>
      </c>
      <c r="J117" s="567">
        <v>0</v>
      </c>
      <c r="K117" s="52">
        <f t="shared" si="23"/>
        <v>0.17299999999999999</v>
      </c>
      <c r="L117" s="52"/>
      <c r="M117" s="50"/>
      <c r="N117" s="51"/>
      <c r="O117" s="499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6"/>
    </row>
    <row r="118" spans="1:57" s="48" customFormat="1" x14ac:dyDescent="0.2">
      <c r="A118" s="698"/>
      <c r="B118" s="648"/>
      <c r="C118" s="706"/>
      <c r="D118" s="46">
        <v>2026</v>
      </c>
      <c r="E118" s="567">
        <f t="shared" si="61"/>
        <v>0.45</v>
      </c>
      <c r="F118" s="567">
        <f>F122</f>
        <v>0.45</v>
      </c>
      <c r="G118" s="567">
        <v>0</v>
      </c>
      <c r="H118" s="567">
        <v>0</v>
      </c>
      <c r="I118" s="567">
        <v>0</v>
      </c>
      <c r="J118" s="567">
        <v>0</v>
      </c>
      <c r="K118" s="52">
        <f t="shared" si="23"/>
        <v>0.45</v>
      </c>
      <c r="L118" s="52"/>
      <c r="M118" s="50"/>
      <c r="N118" s="51"/>
      <c r="O118" s="499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6"/>
    </row>
    <row r="119" spans="1:57" s="48" customFormat="1" x14ac:dyDescent="0.2">
      <c r="A119" s="698"/>
      <c r="B119" s="648"/>
      <c r="C119" s="706"/>
      <c r="D119" s="46">
        <v>2027</v>
      </c>
      <c r="E119" s="567">
        <f t="shared" si="61"/>
        <v>0.52</v>
      </c>
      <c r="F119" s="567">
        <v>0.52</v>
      </c>
      <c r="G119" s="567">
        <v>0</v>
      </c>
      <c r="H119" s="567">
        <v>0</v>
      </c>
      <c r="I119" s="567">
        <v>0</v>
      </c>
      <c r="J119" s="567">
        <v>0</v>
      </c>
      <c r="K119" s="52">
        <f t="shared" si="23"/>
        <v>0.52</v>
      </c>
      <c r="L119" s="52"/>
      <c r="M119" s="50"/>
      <c r="N119" s="51"/>
      <c r="O119" s="499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6"/>
    </row>
    <row r="120" spans="1:57" s="48" customFormat="1" ht="15.75" customHeight="1" x14ac:dyDescent="0.2">
      <c r="A120" s="484" t="s">
        <v>620</v>
      </c>
      <c r="B120" s="490" t="s">
        <v>492</v>
      </c>
      <c r="C120" s="735"/>
      <c r="D120" s="470">
        <v>2021</v>
      </c>
      <c r="E120" s="567">
        <f>F120+G120+H120+I120+J120</f>
        <v>8.09E-2</v>
      </c>
      <c r="F120" s="567">
        <v>8.09E-2</v>
      </c>
      <c r="G120" s="567">
        <v>0</v>
      </c>
      <c r="H120" s="567">
        <v>0</v>
      </c>
      <c r="I120" s="567">
        <v>0</v>
      </c>
      <c r="J120" s="567">
        <v>0</v>
      </c>
      <c r="K120" s="52">
        <f t="shared" si="23"/>
        <v>8.09E-2</v>
      </c>
      <c r="L120" s="52"/>
      <c r="M120" s="50"/>
      <c r="N120" s="51"/>
      <c r="O120" s="499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6"/>
    </row>
    <row r="121" spans="1:57" s="48" customFormat="1" ht="15.75" customHeight="1" x14ac:dyDescent="0.2">
      <c r="A121" s="484" t="s">
        <v>968</v>
      </c>
      <c r="B121" s="137" t="s">
        <v>494</v>
      </c>
      <c r="C121" s="735"/>
      <c r="D121" s="470">
        <v>2024</v>
      </c>
      <c r="E121" s="567">
        <f>F121+G121+H121+I121+J121</f>
        <v>0.17299999999999999</v>
      </c>
      <c r="F121" s="567">
        <v>0.17299999999999999</v>
      </c>
      <c r="G121" s="567">
        <v>0</v>
      </c>
      <c r="H121" s="567">
        <v>0</v>
      </c>
      <c r="I121" s="567">
        <v>0</v>
      </c>
      <c r="J121" s="567">
        <v>0</v>
      </c>
      <c r="K121" s="52">
        <f t="shared" si="23"/>
        <v>0.17299999999999999</v>
      </c>
      <c r="L121" s="52"/>
      <c r="M121" s="50"/>
      <c r="N121" s="51"/>
      <c r="O121" s="499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6"/>
    </row>
    <row r="122" spans="1:57" s="48" customFormat="1" ht="15.75" customHeight="1" x14ac:dyDescent="0.2">
      <c r="A122" s="484" t="s">
        <v>621</v>
      </c>
      <c r="B122" s="137" t="s">
        <v>493</v>
      </c>
      <c r="C122" s="735"/>
      <c r="D122" s="470">
        <v>2026</v>
      </c>
      <c r="E122" s="567">
        <f>F122+G122+H122+I122+J122</f>
        <v>0.45</v>
      </c>
      <c r="F122" s="567">
        <v>0.45</v>
      </c>
      <c r="G122" s="567">
        <v>0</v>
      </c>
      <c r="H122" s="567">
        <v>0</v>
      </c>
      <c r="I122" s="567">
        <v>0</v>
      </c>
      <c r="J122" s="567">
        <v>0</v>
      </c>
      <c r="K122" s="52">
        <f t="shared" si="23"/>
        <v>0.45</v>
      </c>
      <c r="L122" s="52"/>
      <c r="M122" s="50"/>
      <c r="N122" s="51"/>
      <c r="O122" s="499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6"/>
    </row>
    <row r="123" spans="1:57" s="48" customFormat="1" ht="14.25" customHeight="1" x14ac:dyDescent="0.2">
      <c r="A123" s="484" t="s">
        <v>622</v>
      </c>
      <c r="B123" s="137" t="s">
        <v>495</v>
      </c>
      <c r="C123" s="770"/>
      <c r="D123" s="470">
        <v>2027</v>
      </c>
      <c r="E123" s="567">
        <f>F123+G123+H123+I123+J123</f>
        <v>0.52</v>
      </c>
      <c r="F123" s="567">
        <v>0.52</v>
      </c>
      <c r="G123" s="567">
        <v>0</v>
      </c>
      <c r="H123" s="567">
        <v>0</v>
      </c>
      <c r="I123" s="567">
        <v>0</v>
      </c>
      <c r="J123" s="567">
        <v>0</v>
      </c>
      <c r="K123" s="52">
        <f t="shared" si="23"/>
        <v>0.52</v>
      </c>
      <c r="L123" s="52"/>
      <c r="M123" s="50"/>
      <c r="N123" s="51"/>
      <c r="O123" s="500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6"/>
    </row>
    <row r="124" spans="1:57" s="48" customFormat="1" ht="12.75" customHeight="1" x14ac:dyDescent="0.2">
      <c r="A124" s="697" t="s">
        <v>623</v>
      </c>
      <c r="B124" s="631" t="s">
        <v>478</v>
      </c>
      <c r="C124" s="137"/>
      <c r="D124" s="46" t="s">
        <v>198</v>
      </c>
      <c r="E124" s="47">
        <f>E126+E127+E128+E129+E130+E131+E125</f>
        <v>261.48500000000001</v>
      </c>
      <c r="F124" s="47">
        <f t="shared" ref="F124:H124" si="62">F126+F127+F128+F129+F130+F131+F125</f>
        <v>46.726999999999997</v>
      </c>
      <c r="G124" s="47">
        <f t="shared" si="62"/>
        <v>0</v>
      </c>
      <c r="H124" s="47">
        <f t="shared" si="62"/>
        <v>214.75799999999998</v>
      </c>
      <c r="I124" s="47">
        <f t="shared" ref="I124:J124" si="63">I126+I127+I128+I129+I130+I131+I125</f>
        <v>0</v>
      </c>
      <c r="J124" s="47">
        <f t="shared" si="63"/>
        <v>0</v>
      </c>
      <c r="K124" s="52">
        <f t="shared" si="23"/>
        <v>261.48499999999996</v>
      </c>
      <c r="L124" s="52"/>
      <c r="M124" s="50"/>
      <c r="N124" s="51"/>
      <c r="O124" s="769" t="s">
        <v>599</v>
      </c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6"/>
    </row>
    <row r="125" spans="1:57" s="48" customFormat="1" ht="24.75" customHeight="1" x14ac:dyDescent="0.2">
      <c r="A125" s="698"/>
      <c r="B125" s="648"/>
      <c r="C125" s="559" t="s">
        <v>384</v>
      </c>
      <c r="D125" s="470">
        <v>2019</v>
      </c>
      <c r="E125" s="567">
        <f>E145</f>
        <v>12.5</v>
      </c>
      <c r="F125" s="567">
        <f t="shared" ref="F125:J126" si="64">F145</f>
        <v>12.5</v>
      </c>
      <c r="G125" s="567">
        <f t="shared" si="64"/>
        <v>0</v>
      </c>
      <c r="H125" s="567">
        <f t="shared" si="64"/>
        <v>0</v>
      </c>
      <c r="I125" s="567">
        <f t="shared" si="64"/>
        <v>0</v>
      </c>
      <c r="J125" s="567">
        <f t="shared" si="64"/>
        <v>0</v>
      </c>
      <c r="K125" s="52">
        <f t="shared" si="23"/>
        <v>12.5</v>
      </c>
      <c r="L125" s="52"/>
      <c r="M125" s="50"/>
      <c r="N125" s="51"/>
      <c r="O125" s="784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6"/>
    </row>
    <row r="126" spans="1:57" s="48" customFormat="1" ht="12.75" customHeight="1" x14ac:dyDescent="0.2">
      <c r="A126" s="698"/>
      <c r="B126" s="648"/>
      <c r="C126" s="638" t="s">
        <v>969</v>
      </c>
      <c r="D126" s="470">
        <v>2020</v>
      </c>
      <c r="E126" s="567">
        <f>E146</f>
        <v>2.9849999999999999</v>
      </c>
      <c r="F126" s="567">
        <f>F146</f>
        <v>2.9849999999999999</v>
      </c>
      <c r="G126" s="567">
        <f t="shared" si="64"/>
        <v>0</v>
      </c>
      <c r="H126" s="567">
        <f t="shared" si="64"/>
        <v>0</v>
      </c>
      <c r="I126" s="567">
        <f t="shared" si="64"/>
        <v>0</v>
      </c>
      <c r="J126" s="567">
        <f t="shared" si="64"/>
        <v>0</v>
      </c>
      <c r="K126" s="52">
        <f t="shared" si="23"/>
        <v>2.9849999999999999</v>
      </c>
      <c r="L126" s="52"/>
      <c r="M126" s="50"/>
      <c r="N126" s="51"/>
      <c r="O126" s="784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6"/>
    </row>
    <row r="127" spans="1:57" s="48" customFormat="1" x14ac:dyDescent="0.2">
      <c r="A127" s="663"/>
      <c r="B127" s="701"/>
      <c r="C127" s="639"/>
      <c r="D127" s="470">
        <v>2021</v>
      </c>
      <c r="E127" s="567">
        <f>E147</f>
        <v>0</v>
      </c>
      <c r="F127" s="567">
        <f t="shared" ref="F127:J128" si="65">F147</f>
        <v>0</v>
      </c>
      <c r="G127" s="567">
        <f t="shared" si="65"/>
        <v>0</v>
      </c>
      <c r="H127" s="567">
        <f t="shared" si="65"/>
        <v>0</v>
      </c>
      <c r="I127" s="567">
        <f t="shared" si="65"/>
        <v>0</v>
      </c>
      <c r="J127" s="567">
        <f t="shared" si="65"/>
        <v>0</v>
      </c>
      <c r="K127" s="52">
        <f t="shared" si="23"/>
        <v>0</v>
      </c>
      <c r="L127" s="53"/>
      <c r="M127" s="50"/>
      <c r="N127" s="51"/>
      <c r="O127" s="784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6"/>
    </row>
    <row r="128" spans="1:57" s="48" customFormat="1" x14ac:dyDescent="0.2">
      <c r="A128" s="663"/>
      <c r="B128" s="701"/>
      <c r="C128" s="639"/>
      <c r="D128" s="470">
        <v>2022</v>
      </c>
      <c r="E128" s="567">
        <f>E148</f>
        <v>0</v>
      </c>
      <c r="F128" s="567">
        <f t="shared" si="65"/>
        <v>0</v>
      </c>
      <c r="G128" s="567">
        <f t="shared" si="65"/>
        <v>0</v>
      </c>
      <c r="H128" s="567">
        <f t="shared" si="65"/>
        <v>0</v>
      </c>
      <c r="I128" s="567">
        <f t="shared" si="65"/>
        <v>0</v>
      </c>
      <c r="J128" s="567">
        <f t="shared" si="65"/>
        <v>0</v>
      </c>
      <c r="K128" s="52">
        <f t="shared" si="23"/>
        <v>0</v>
      </c>
      <c r="L128" s="53"/>
      <c r="M128" s="50"/>
      <c r="N128" s="51"/>
      <c r="O128" s="784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6"/>
    </row>
    <row r="129" spans="1:57" s="48" customFormat="1" x14ac:dyDescent="0.2">
      <c r="A129" s="663"/>
      <c r="B129" s="701"/>
      <c r="C129" s="638" t="s">
        <v>970</v>
      </c>
      <c r="D129" s="470">
        <v>2026</v>
      </c>
      <c r="E129" s="567">
        <f>E133+E137+E141</f>
        <v>24.599999999999998</v>
      </c>
      <c r="F129" s="567">
        <f t="shared" ref="F129:J131" si="66">F133+F137+F141</f>
        <v>24.599999999999998</v>
      </c>
      <c r="G129" s="567">
        <f t="shared" si="66"/>
        <v>0</v>
      </c>
      <c r="H129" s="567">
        <f t="shared" si="66"/>
        <v>0</v>
      </c>
      <c r="I129" s="567">
        <f t="shared" si="66"/>
        <v>0</v>
      </c>
      <c r="J129" s="567">
        <f t="shared" ref="J129" si="67">J139</f>
        <v>0</v>
      </c>
      <c r="K129" s="52">
        <f t="shared" si="23"/>
        <v>24.599999999999998</v>
      </c>
      <c r="L129" s="53"/>
      <c r="M129" s="50"/>
      <c r="N129" s="51"/>
      <c r="O129" s="784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6"/>
    </row>
    <row r="130" spans="1:57" s="48" customFormat="1" x14ac:dyDescent="0.2">
      <c r="A130" s="483"/>
      <c r="B130" s="499"/>
      <c r="C130" s="639"/>
      <c r="D130" s="470">
        <v>2027</v>
      </c>
      <c r="E130" s="567">
        <f>E134+E138+E142</f>
        <v>110.69999999999999</v>
      </c>
      <c r="F130" s="567">
        <f t="shared" si="66"/>
        <v>3.3209999999999997</v>
      </c>
      <c r="G130" s="567">
        <f t="shared" si="66"/>
        <v>0</v>
      </c>
      <c r="H130" s="567">
        <f>H134+H138+H142</f>
        <v>107.37899999999999</v>
      </c>
      <c r="I130" s="567">
        <f t="shared" si="66"/>
        <v>0</v>
      </c>
      <c r="J130" s="567">
        <f t="shared" si="66"/>
        <v>0</v>
      </c>
      <c r="K130" s="52">
        <f t="shared" si="23"/>
        <v>110.69999999999999</v>
      </c>
      <c r="L130" s="100"/>
      <c r="M130" s="50"/>
      <c r="N130" s="63"/>
      <c r="O130" s="784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6"/>
    </row>
    <row r="131" spans="1:57" s="48" customFormat="1" x14ac:dyDescent="0.2">
      <c r="A131" s="483"/>
      <c r="B131" s="499"/>
      <c r="C131" s="640"/>
      <c r="D131" s="470">
        <v>2028</v>
      </c>
      <c r="E131" s="567">
        <f>E135+E139+E143</f>
        <v>110.69999999999999</v>
      </c>
      <c r="F131" s="567">
        <f t="shared" si="66"/>
        <v>3.3209999999999997</v>
      </c>
      <c r="G131" s="567">
        <f t="shared" si="66"/>
        <v>0</v>
      </c>
      <c r="H131" s="567">
        <f>H135+H139+H143</f>
        <v>107.37899999999999</v>
      </c>
      <c r="I131" s="567">
        <f t="shared" si="66"/>
        <v>0</v>
      </c>
      <c r="J131" s="567">
        <f t="shared" si="66"/>
        <v>0</v>
      </c>
      <c r="K131" s="52">
        <f t="shared" si="23"/>
        <v>110.69999999999999</v>
      </c>
      <c r="L131" s="100"/>
      <c r="M131" s="50"/>
      <c r="N131" s="63"/>
      <c r="O131" s="784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6"/>
    </row>
    <row r="132" spans="1:57" s="48" customFormat="1" x14ac:dyDescent="0.2">
      <c r="A132" s="697" t="s">
        <v>624</v>
      </c>
      <c r="B132" s="705" t="s">
        <v>481</v>
      </c>
      <c r="C132" s="678" t="s">
        <v>969</v>
      </c>
      <c r="D132" s="46" t="s">
        <v>198</v>
      </c>
      <c r="E132" s="47">
        <f>E133+E134+E135</f>
        <v>82</v>
      </c>
      <c r="F132" s="47">
        <f t="shared" ref="F132:H132" si="68">F133+F134+F135</f>
        <v>10.413999999999998</v>
      </c>
      <c r="G132" s="47">
        <f t="shared" si="68"/>
        <v>0</v>
      </c>
      <c r="H132" s="47">
        <f t="shared" si="68"/>
        <v>71.585999999999999</v>
      </c>
      <c r="I132" s="47">
        <f t="shared" ref="I132" si="69">I133+I134+I135</f>
        <v>0</v>
      </c>
      <c r="J132" s="47">
        <f t="shared" ref="J132" si="70">J133+J134+J135</f>
        <v>0</v>
      </c>
      <c r="K132" s="52">
        <f t="shared" si="23"/>
        <v>82</v>
      </c>
      <c r="L132" s="633" t="s">
        <v>511</v>
      </c>
      <c r="M132" s="547"/>
      <c r="N132" s="802">
        <v>10</v>
      </c>
      <c r="O132" s="784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6"/>
    </row>
    <row r="133" spans="1:57" s="48" customFormat="1" x14ac:dyDescent="0.2">
      <c r="A133" s="698"/>
      <c r="B133" s="735"/>
      <c r="C133" s="678"/>
      <c r="D133" s="470">
        <v>2026</v>
      </c>
      <c r="E133" s="567">
        <f>F133+G133+H133+I133+J133+L133</f>
        <v>8.1999999999999993</v>
      </c>
      <c r="F133" s="567">
        <v>8.1999999999999993</v>
      </c>
      <c r="G133" s="567">
        <v>0</v>
      </c>
      <c r="H133" s="567">
        <v>0</v>
      </c>
      <c r="I133" s="567">
        <v>0</v>
      </c>
      <c r="J133" s="567">
        <v>0</v>
      </c>
      <c r="K133" s="52">
        <f t="shared" si="23"/>
        <v>8.1999999999999993</v>
      </c>
      <c r="L133" s="848"/>
      <c r="M133" s="547"/>
      <c r="N133" s="803"/>
      <c r="O133" s="784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6"/>
    </row>
    <row r="134" spans="1:57" s="48" customFormat="1" x14ac:dyDescent="0.2">
      <c r="A134" s="698"/>
      <c r="B134" s="735"/>
      <c r="C134" s="678"/>
      <c r="D134" s="470">
        <v>2027</v>
      </c>
      <c r="E134" s="567">
        <f>F134+G134+H134+I134+J134+L134</f>
        <v>36.9</v>
      </c>
      <c r="F134" s="567">
        <v>1.107</v>
      </c>
      <c r="G134" s="567">
        <v>0</v>
      </c>
      <c r="H134" s="567">
        <v>35.792999999999999</v>
      </c>
      <c r="I134" s="567">
        <v>0</v>
      </c>
      <c r="J134" s="567"/>
      <c r="K134" s="52">
        <f t="shared" si="23"/>
        <v>36.9</v>
      </c>
      <c r="L134" s="563"/>
      <c r="M134" s="547"/>
      <c r="N134" s="562"/>
      <c r="O134" s="784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6"/>
    </row>
    <row r="135" spans="1:57" s="48" customFormat="1" x14ac:dyDescent="0.2">
      <c r="A135" s="734"/>
      <c r="B135" s="770"/>
      <c r="C135" s="678"/>
      <c r="D135" s="470">
        <v>2028</v>
      </c>
      <c r="E135" s="567">
        <f>F135+G135+H135+I135+J135+L135</f>
        <v>36.9</v>
      </c>
      <c r="F135" s="567">
        <v>1.107</v>
      </c>
      <c r="G135" s="567">
        <v>0</v>
      </c>
      <c r="H135" s="567">
        <v>35.792999999999999</v>
      </c>
      <c r="I135" s="567">
        <v>0</v>
      </c>
      <c r="J135" s="567">
        <v>0</v>
      </c>
      <c r="K135" s="52">
        <f t="shared" si="23"/>
        <v>36.9</v>
      </c>
      <c r="L135" s="563"/>
      <c r="M135" s="547"/>
      <c r="N135" s="562"/>
      <c r="O135" s="784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6"/>
    </row>
    <row r="136" spans="1:57" s="48" customFormat="1" x14ac:dyDescent="0.2">
      <c r="A136" s="697" t="s">
        <v>625</v>
      </c>
      <c r="B136" s="705" t="s">
        <v>482</v>
      </c>
      <c r="C136" s="638" t="s">
        <v>970</v>
      </c>
      <c r="D136" s="46" t="s">
        <v>198</v>
      </c>
      <c r="E136" s="47">
        <f>E137+E138+E139</f>
        <v>82</v>
      </c>
      <c r="F136" s="47">
        <f t="shared" ref="F136:H136" si="71">F137+F138+F139</f>
        <v>10.413999999999998</v>
      </c>
      <c r="G136" s="47">
        <f t="shared" si="71"/>
        <v>0</v>
      </c>
      <c r="H136" s="47">
        <f t="shared" si="71"/>
        <v>71.585999999999999</v>
      </c>
      <c r="I136" s="47">
        <f t="shared" ref="I136:J136" si="72">I137+I138+I139</f>
        <v>0</v>
      </c>
      <c r="J136" s="47">
        <f t="shared" si="72"/>
        <v>0</v>
      </c>
      <c r="K136" s="52">
        <f t="shared" si="23"/>
        <v>82</v>
      </c>
      <c r="L136" s="633" t="s">
        <v>511</v>
      </c>
      <c r="M136" s="54"/>
      <c r="N136" s="802"/>
      <c r="O136" s="784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6"/>
    </row>
    <row r="137" spans="1:57" s="48" customFormat="1" x14ac:dyDescent="0.2">
      <c r="A137" s="698"/>
      <c r="B137" s="706"/>
      <c r="C137" s="639"/>
      <c r="D137" s="470">
        <v>2026</v>
      </c>
      <c r="E137" s="567">
        <f>F137+G137+H137+I137+J137+L137</f>
        <v>8.1999999999999993</v>
      </c>
      <c r="F137" s="567">
        <v>8.1999999999999993</v>
      </c>
      <c r="G137" s="567">
        <v>0</v>
      </c>
      <c r="H137" s="567">
        <v>0</v>
      </c>
      <c r="I137" s="567">
        <v>0</v>
      </c>
      <c r="J137" s="567">
        <v>0</v>
      </c>
      <c r="K137" s="52">
        <f t="shared" ref="K137:K200" si="73">F137+G137+H137+I137+J137</f>
        <v>8.1999999999999993</v>
      </c>
      <c r="L137" s="919"/>
      <c r="M137" s="54"/>
      <c r="N137" s="907"/>
      <c r="O137" s="784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6"/>
    </row>
    <row r="138" spans="1:57" s="48" customFormat="1" x14ac:dyDescent="0.2">
      <c r="A138" s="698"/>
      <c r="B138" s="706"/>
      <c r="C138" s="639"/>
      <c r="D138" s="470">
        <v>2027</v>
      </c>
      <c r="E138" s="567">
        <f>F138+G138+H138+I138+J138+L138</f>
        <v>36.9</v>
      </c>
      <c r="F138" s="567">
        <v>1.107</v>
      </c>
      <c r="G138" s="567">
        <v>0</v>
      </c>
      <c r="H138" s="567">
        <v>35.792999999999999</v>
      </c>
      <c r="I138" s="567">
        <v>0</v>
      </c>
      <c r="J138" s="567">
        <v>0</v>
      </c>
      <c r="K138" s="52">
        <f t="shared" si="73"/>
        <v>36.9</v>
      </c>
      <c r="L138" s="919"/>
      <c r="M138" s="54"/>
      <c r="N138" s="907"/>
      <c r="O138" s="784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6"/>
    </row>
    <row r="139" spans="1:57" s="48" customFormat="1" ht="21.75" customHeight="1" x14ac:dyDescent="0.2">
      <c r="A139" s="699"/>
      <c r="B139" s="730"/>
      <c r="C139" s="640"/>
      <c r="D139" s="470">
        <v>2028</v>
      </c>
      <c r="E139" s="567">
        <f>F139+G139+H139+I139+J139+L139</f>
        <v>36.9</v>
      </c>
      <c r="F139" s="567">
        <v>1.107</v>
      </c>
      <c r="G139" s="567">
        <v>0</v>
      </c>
      <c r="H139" s="567">
        <v>35.792999999999999</v>
      </c>
      <c r="I139" s="567">
        <v>0</v>
      </c>
      <c r="J139" s="567">
        <v>0</v>
      </c>
      <c r="K139" s="52">
        <f t="shared" si="73"/>
        <v>36.9</v>
      </c>
      <c r="L139" s="848"/>
      <c r="M139" s="54"/>
      <c r="N139" s="803"/>
      <c r="O139" s="784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6"/>
    </row>
    <row r="140" spans="1:57" s="48" customFormat="1" x14ac:dyDescent="0.2">
      <c r="A140" s="697" t="s">
        <v>626</v>
      </c>
      <c r="B140" s="705" t="s">
        <v>483</v>
      </c>
      <c r="C140" s="638" t="s">
        <v>970</v>
      </c>
      <c r="D140" s="46" t="s">
        <v>198</v>
      </c>
      <c r="E140" s="47">
        <f>E141+E142+E143</f>
        <v>82</v>
      </c>
      <c r="F140" s="47">
        <f t="shared" ref="F140:H140" si="74">F141+F142+F143</f>
        <v>10.413999999999998</v>
      </c>
      <c r="G140" s="47">
        <f t="shared" si="74"/>
        <v>0</v>
      </c>
      <c r="H140" s="47">
        <f t="shared" si="74"/>
        <v>71.585999999999999</v>
      </c>
      <c r="I140" s="47">
        <f t="shared" ref="I140:J140" si="75">I141+I142+I143</f>
        <v>0</v>
      </c>
      <c r="J140" s="47">
        <f t="shared" si="75"/>
        <v>0</v>
      </c>
      <c r="K140" s="52">
        <f t="shared" si="73"/>
        <v>82</v>
      </c>
      <c r="L140" s="633" t="s">
        <v>511</v>
      </c>
      <c r="M140" s="54"/>
      <c r="N140" s="51"/>
      <c r="O140" s="784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6"/>
    </row>
    <row r="141" spans="1:57" s="48" customFormat="1" x14ac:dyDescent="0.2">
      <c r="A141" s="698"/>
      <c r="B141" s="706"/>
      <c r="C141" s="639"/>
      <c r="D141" s="470">
        <v>2026</v>
      </c>
      <c r="E141" s="567">
        <f>F141+G141+H141+I141+J141+L141</f>
        <v>8.1999999999999993</v>
      </c>
      <c r="F141" s="567">
        <v>8.1999999999999993</v>
      </c>
      <c r="G141" s="567">
        <v>0</v>
      </c>
      <c r="H141" s="567">
        <v>0</v>
      </c>
      <c r="I141" s="567">
        <v>0</v>
      </c>
      <c r="J141" s="567">
        <v>0</v>
      </c>
      <c r="K141" s="52">
        <f t="shared" si="73"/>
        <v>8.1999999999999993</v>
      </c>
      <c r="L141" s="919"/>
      <c r="M141" s="54"/>
      <c r="N141" s="51"/>
      <c r="O141" s="784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6"/>
    </row>
    <row r="142" spans="1:57" s="48" customFormat="1" x14ac:dyDescent="0.2">
      <c r="A142" s="698"/>
      <c r="B142" s="706"/>
      <c r="C142" s="639"/>
      <c r="D142" s="470">
        <v>2027</v>
      </c>
      <c r="E142" s="567">
        <f>F142+G142+H142+I142+J142+L142</f>
        <v>36.9</v>
      </c>
      <c r="F142" s="567">
        <v>1.107</v>
      </c>
      <c r="G142" s="567">
        <v>0</v>
      </c>
      <c r="H142" s="567">
        <v>35.792999999999999</v>
      </c>
      <c r="I142" s="567">
        <v>0</v>
      </c>
      <c r="J142" s="567">
        <v>0</v>
      </c>
      <c r="K142" s="52">
        <f t="shared" si="73"/>
        <v>36.9</v>
      </c>
      <c r="L142" s="919"/>
      <c r="M142" s="54"/>
      <c r="N142" s="51"/>
      <c r="O142" s="784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6"/>
    </row>
    <row r="143" spans="1:57" s="48" customFormat="1" x14ac:dyDescent="0.2">
      <c r="A143" s="698"/>
      <c r="B143" s="706"/>
      <c r="C143" s="640"/>
      <c r="D143" s="470">
        <v>2028</v>
      </c>
      <c r="E143" s="567">
        <f>F143+G143+H143+I143+J143+L143</f>
        <v>36.9</v>
      </c>
      <c r="F143" s="567">
        <v>1.107</v>
      </c>
      <c r="G143" s="567">
        <v>0</v>
      </c>
      <c r="H143" s="567">
        <v>35.792999999999999</v>
      </c>
      <c r="I143" s="567">
        <v>0</v>
      </c>
      <c r="J143" s="567">
        <v>0</v>
      </c>
      <c r="K143" s="52">
        <f t="shared" si="73"/>
        <v>36.9</v>
      </c>
      <c r="L143" s="919"/>
      <c r="M143" s="54"/>
      <c r="N143" s="51"/>
      <c r="O143" s="784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6"/>
    </row>
    <row r="144" spans="1:57" s="48" customFormat="1" x14ac:dyDescent="0.2">
      <c r="A144" s="697" t="s">
        <v>627</v>
      </c>
      <c r="B144" s="705" t="s">
        <v>484</v>
      </c>
      <c r="C144" s="499"/>
      <c r="D144" s="46" t="s">
        <v>198</v>
      </c>
      <c r="E144" s="47">
        <f>E146+E147+E148+E145</f>
        <v>15.484999999999999</v>
      </c>
      <c r="F144" s="47">
        <f t="shared" ref="F144:H144" si="76">F146+F147+F148+F145</f>
        <v>15.484999999999999</v>
      </c>
      <c r="G144" s="47">
        <f t="shared" si="76"/>
        <v>0</v>
      </c>
      <c r="H144" s="47">
        <f t="shared" si="76"/>
        <v>0</v>
      </c>
      <c r="I144" s="47">
        <f t="shared" ref="I144:J144" si="77">I146+I147+I148</f>
        <v>0</v>
      </c>
      <c r="J144" s="47">
        <f t="shared" si="77"/>
        <v>0</v>
      </c>
      <c r="K144" s="52">
        <f t="shared" si="73"/>
        <v>15.484999999999999</v>
      </c>
      <c r="L144" s="806" t="s">
        <v>511</v>
      </c>
      <c r="M144" s="50"/>
      <c r="N144" s="802">
        <v>10</v>
      </c>
      <c r="O144" s="784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6"/>
    </row>
    <row r="145" spans="1:57" s="48" customFormat="1" ht="37.5" customHeight="1" x14ac:dyDescent="0.2">
      <c r="A145" s="698"/>
      <c r="B145" s="706"/>
      <c r="C145" s="490" t="s">
        <v>384</v>
      </c>
      <c r="D145" s="470">
        <v>2019</v>
      </c>
      <c r="E145" s="567">
        <f>F145</f>
        <v>12.5</v>
      </c>
      <c r="F145" s="567">
        <v>12.5</v>
      </c>
      <c r="G145" s="567">
        <v>0</v>
      </c>
      <c r="H145" s="567">
        <v>0</v>
      </c>
      <c r="I145" s="567">
        <v>0</v>
      </c>
      <c r="J145" s="567">
        <v>0</v>
      </c>
      <c r="K145" s="52">
        <f t="shared" si="73"/>
        <v>12.5</v>
      </c>
      <c r="L145" s="830"/>
      <c r="M145" s="50"/>
      <c r="N145" s="907"/>
      <c r="O145" s="784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6"/>
    </row>
    <row r="146" spans="1:57" s="48" customFormat="1" x14ac:dyDescent="0.2">
      <c r="A146" s="698"/>
      <c r="B146" s="706"/>
      <c r="C146" s="681" t="s">
        <v>984</v>
      </c>
      <c r="D146" s="470">
        <v>2020</v>
      </c>
      <c r="E146" s="567">
        <f>F146+G146+H146+I146+J146</f>
        <v>2.9849999999999999</v>
      </c>
      <c r="F146" s="567">
        <v>2.9849999999999999</v>
      </c>
      <c r="G146" s="567">
        <v>0</v>
      </c>
      <c r="H146" s="567">
        <v>0</v>
      </c>
      <c r="I146" s="567">
        <v>0</v>
      </c>
      <c r="J146" s="567">
        <v>0</v>
      </c>
      <c r="K146" s="52">
        <f t="shared" si="73"/>
        <v>2.9849999999999999</v>
      </c>
      <c r="L146" s="830"/>
      <c r="M146" s="50"/>
      <c r="N146" s="907"/>
      <c r="O146" s="784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6"/>
    </row>
    <row r="147" spans="1:57" s="48" customFormat="1" x14ac:dyDescent="0.2">
      <c r="A147" s="698"/>
      <c r="B147" s="706"/>
      <c r="C147" s="681"/>
      <c r="D147" s="456">
        <v>2021</v>
      </c>
      <c r="E147" s="576">
        <f t="shared" ref="E147:E148" si="78">F147+G147+H147+I147+J147</f>
        <v>0</v>
      </c>
      <c r="F147" s="576">
        <v>0</v>
      </c>
      <c r="G147" s="576">
        <v>0</v>
      </c>
      <c r="H147" s="576">
        <v>0</v>
      </c>
      <c r="I147" s="567">
        <v>0</v>
      </c>
      <c r="J147" s="567">
        <v>0</v>
      </c>
      <c r="K147" s="52">
        <f t="shared" si="73"/>
        <v>0</v>
      </c>
      <c r="L147" s="830"/>
      <c r="M147" s="50"/>
      <c r="N147" s="907"/>
      <c r="O147" s="784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6"/>
    </row>
    <row r="148" spans="1:57" s="48" customFormat="1" x14ac:dyDescent="0.2">
      <c r="A148" s="698"/>
      <c r="B148" s="706"/>
      <c r="C148" s="681"/>
      <c r="D148" s="456">
        <v>2022</v>
      </c>
      <c r="E148" s="576">
        <f t="shared" si="78"/>
        <v>0</v>
      </c>
      <c r="F148" s="576">
        <v>0</v>
      </c>
      <c r="G148" s="576">
        <v>0</v>
      </c>
      <c r="H148" s="576">
        <v>0</v>
      </c>
      <c r="I148" s="567">
        <v>0</v>
      </c>
      <c r="J148" s="567">
        <v>0</v>
      </c>
      <c r="K148" s="52">
        <f t="shared" si="73"/>
        <v>0</v>
      </c>
      <c r="L148" s="636"/>
      <c r="M148" s="50"/>
      <c r="N148" s="907"/>
      <c r="O148" s="784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6"/>
    </row>
    <row r="149" spans="1:57" s="48" customFormat="1" x14ac:dyDescent="0.2">
      <c r="A149" s="697" t="s">
        <v>628</v>
      </c>
      <c r="B149" s="705" t="s">
        <v>868</v>
      </c>
      <c r="C149" s="473"/>
      <c r="D149" s="46" t="s">
        <v>198</v>
      </c>
      <c r="E149" s="47">
        <f>E150+E152+E151</f>
        <v>197.8946</v>
      </c>
      <c r="F149" s="47">
        <f t="shared" ref="F149:H149" si="79">F150+F152+F151</f>
        <v>4.2707000000000006</v>
      </c>
      <c r="G149" s="47">
        <f t="shared" si="79"/>
        <v>186.85059999999999</v>
      </c>
      <c r="H149" s="47">
        <f t="shared" si="79"/>
        <v>6.7732999999999999</v>
      </c>
      <c r="I149" s="47">
        <f t="shared" ref="I149" si="80">I150+I152+I151</f>
        <v>0</v>
      </c>
      <c r="J149" s="47">
        <f>J150+J152+J151</f>
        <v>0</v>
      </c>
      <c r="K149" s="52">
        <f t="shared" si="73"/>
        <v>197.8946</v>
      </c>
      <c r="L149" s="812" t="s">
        <v>598</v>
      </c>
      <c r="M149" s="50"/>
      <c r="N149" s="802">
        <v>20</v>
      </c>
      <c r="O149" s="784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6"/>
    </row>
    <row r="150" spans="1:57" s="48" customFormat="1" ht="24" customHeight="1" x14ac:dyDescent="0.2">
      <c r="A150" s="698"/>
      <c r="B150" s="706"/>
      <c r="C150" s="490" t="s">
        <v>384</v>
      </c>
      <c r="D150" s="470">
        <v>2019</v>
      </c>
      <c r="E150" s="567">
        <f t="shared" ref="E150:E152" si="81">F150+G150+H150+I150+J150</f>
        <v>3.2585000000000002</v>
      </c>
      <c r="F150" s="567">
        <v>3.2585000000000002</v>
      </c>
      <c r="G150" s="567">
        <v>0</v>
      </c>
      <c r="H150" s="567">
        <v>0</v>
      </c>
      <c r="I150" s="567">
        <v>0</v>
      </c>
      <c r="J150" s="567">
        <v>0</v>
      </c>
      <c r="K150" s="52">
        <f t="shared" si="73"/>
        <v>3.2585000000000002</v>
      </c>
      <c r="L150" s="861"/>
      <c r="M150" s="50"/>
      <c r="N150" s="907"/>
      <c r="O150" s="784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6"/>
    </row>
    <row r="151" spans="1:57" s="48" customFormat="1" x14ac:dyDescent="0.2">
      <c r="A151" s="698"/>
      <c r="B151" s="706"/>
      <c r="C151" s="478"/>
      <c r="D151" s="470">
        <v>2020</v>
      </c>
      <c r="E151" s="567">
        <f>F151+G151+H151</f>
        <v>56.761800000000001</v>
      </c>
      <c r="F151" s="567">
        <v>0.29520000000000002</v>
      </c>
      <c r="G151" s="567">
        <v>54.491300000000003</v>
      </c>
      <c r="H151" s="567">
        <v>1.9753000000000001</v>
      </c>
      <c r="I151" s="567">
        <v>0</v>
      </c>
      <c r="J151" s="567">
        <v>0</v>
      </c>
      <c r="K151" s="52">
        <f t="shared" si="73"/>
        <v>56.761800000000001</v>
      </c>
      <c r="L151" s="861"/>
      <c r="M151" s="50"/>
      <c r="N151" s="907"/>
      <c r="O151" s="784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6"/>
    </row>
    <row r="152" spans="1:57" s="48" customFormat="1" x14ac:dyDescent="0.2">
      <c r="A152" s="698"/>
      <c r="B152" s="706"/>
      <c r="C152" s="478" t="s">
        <v>976</v>
      </c>
      <c r="D152" s="470">
        <v>2021</v>
      </c>
      <c r="E152" s="567">
        <f t="shared" si="81"/>
        <v>137.87430000000001</v>
      </c>
      <c r="F152" s="567">
        <v>0.71699999999999997</v>
      </c>
      <c r="G152" s="567">
        <v>132.35929999999999</v>
      </c>
      <c r="H152" s="567">
        <v>4.798</v>
      </c>
      <c r="I152" s="567">
        <v>0</v>
      </c>
      <c r="J152" s="567">
        <v>0</v>
      </c>
      <c r="K152" s="52">
        <f t="shared" si="73"/>
        <v>137.87430000000001</v>
      </c>
      <c r="L152" s="861"/>
      <c r="M152" s="50"/>
      <c r="N152" s="907"/>
      <c r="O152" s="784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6"/>
    </row>
    <row r="153" spans="1:57" s="48" customFormat="1" x14ac:dyDescent="0.2">
      <c r="A153" s="697" t="s">
        <v>629</v>
      </c>
      <c r="B153" s="705" t="s">
        <v>485</v>
      </c>
      <c r="C153" s="631" t="s">
        <v>970</v>
      </c>
      <c r="D153" s="46" t="s">
        <v>198</v>
      </c>
      <c r="E153" s="47">
        <f>E154+E155</f>
        <v>88</v>
      </c>
      <c r="F153" s="47">
        <f t="shared" ref="F153:H153" si="82">F154+F155</f>
        <v>8.39</v>
      </c>
      <c r="G153" s="47">
        <f t="shared" si="82"/>
        <v>0</v>
      </c>
      <c r="H153" s="47">
        <f t="shared" si="82"/>
        <v>79.61</v>
      </c>
      <c r="I153" s="47">
        <f t="shared" ref="I153:J153" si="83">I154+I155</f>
        <v>0</v>
      </c>
      <c r="J153" s="47">
        <f t="shared" si="83"/>
        <v>0</v>
      </c>
      <c r="K153" s="52">
        <f t="shared" si="73"/>
        <v>88</v>
      </c>
      <c r="L153" s="812" t="s">
        <v>598</v>
      </c>
      <c r="M153" s="50"/>
      <c r="N153" s="802">
        <v>35</v>
      </c>
      <c r="O153" s="784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6"/>
    </row>
    <row r="154" spans="1:57" s="48" customFormat="1" x14ac:dyDescent="0.2">
      <c r="A154" s="698"/>
      <c r="B154" s="706"/>
      <c r="C154" s="701"/>
      <c r="D154" s="470">
        <v>2026</v>
      </c>
      <c r="E154" s="567">
        <f>F154+G154+H154+I154+J154</f>
        <v>4.2</v>
      </c>
      <c r="F154" s="567">
        <v>4.2</v>
      </c>
      <c r="G154" s="567">
        <v>0</v>
      </c>
      <c r="H154" s="567">
        <v>0</v>
      </c>
      <c r="I154" s="567">
        <v>0</v>
      </c>
      <c r="J154" s="567">
        <v>0</v>
      </c>
      <c r="K154" s="52">
        <f t="shared" si="73"/>
        <v>4.2</v>
      </c>
      <c r="L154" s="861"/>
      <c r="M154" s="50"/>
      <c r="N154" s="907"/>
      <c r="O154" s="784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6"/>
    </row>
    <row r="155" spans="1:57" s="48" customFormat="1" x14ac:dyDescent="0.2">
      <c r="A155" s="699"/>
      <c r="B155" s="730"/>
      <c r="C155" s="702"/>
      <c r="D155" s="470">
        <v>2027</v>
      </c>
      <c r="E155" s="567">
        <f>F155+G155+H155+I155+J155</f>
        <v>83.8</v>
      </c>
      <c r="F155" s="567">
        <v>4.1900000000000004</v>
      </c>
      <c r="G155" s="567">
        <v>0</v>
      </c>
      <c r="H155" s="567">
        <v>79.61</v>
      </c>
      <c r="I155" s="567">
        <v>0</v>
      </c>
      <c r="J155" s="567">
        <v>0</v>
      </c>
      <c r="K155" s="52">
        <f t="shared" si="73"/>
        <v>83.8</v>
      </c>
      <c r="L155" s="813"/>
      <c r="M155" s="50"/>
      <c r="N155" s="803"/>
      <c r="O155" s="784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6"/>
    </row>
    <row r="156" spans="1:57" s="48" customFormat="1" ht="16.5" customHeight="1" x14ac:dyDescent="0.2">
      <c r="A156" s="697" t="s">
        <v>630</v>
      </c>
      <c r="B156" s="705" t="s">
        <v>1051</v>
      </c>
      <c r="C156" s="705" t="s">
        <v>970</v>
      </c>
      <c r="D156" s="46" t="s">
        <v>198</v>
      </c>
      <c r="E156" s="47">
        <f>E157+E158</f>
        <v>3.8</v>
      </c>
      <c r="F156" s="47">
        <f t="shared" ref="F156:J156" si="84">F157+F158</f>
        <v>0.55000000000000004</v>
      </c>
      <c r="G156" s="47">
        <f t="shared" si="84"/>
        <v>0</v>
      </c>
      <c r="H156" s="47">
        <f t="shared" si="84"/>
        <v>3.25</v>
      </c>
      <c r="I156" s="47">
        <f t="shared" si="84"/>
        <v>0</v>
      </c>
      <c r="J156" s="47">
        <f t="shared" si="84"/>
        <v>0</v>
      </c>
      <c r="K156" s="52">
        <f t="shared" si="73"/>
        <v>3.8</v>
      </c>
      <c r="L156" s="633" t="s">
        <v>591</v>
      </c>
      <c r="M156" s="50"/>
      <c r="N156" s="51"/>
      <c r="O156" s="784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6"/>
    </row>
    <row r="157" spans="1:57" s="48" customFormat="1" x14ac:dyDescent="0.2">
      <c r="A157" s="698"/>
      <c r="B157" s="706"/>
      <c r="C157" s="706"/>
      <c r="D157" s="470">
        <v>2026</v>
      </c>
      <c r="E157" s="567">
        <f>F157+G157+H157+I157+J157</f>
        <v>0.38</v>
      </c>
      <c r="F157" s="567">
        <v>0.38</v>
      </c>
      <c r="G157" s="567">
        <v>0</v>
      </c>
      <c r="H157" s="567">
        <v>0</v>
      </c>
      <c r="I157" s="567">
        <v>0</v>
      </c>
      <c r="J157" s="567">
        <v>0</v>
      </c>
      <c r="K157" s="52">
        <f t="shared" si="73"/>
        <v>0.38</v>
      </c>
      <c r="L157" s="916"/>
      <c r="M157" s="50"/>
      <c r="N157" s="51"/>
      <c r="O157" s="784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6"/>
    </row>
    <row r="158" spans="1:57" s="48" customFormat="1" x14ac:dyDescent="0.2">
      <c r="A158" s="734"/>
      <c r="B158" s="730"/>
      <c r="C158" s="503"/>
      <c r="D158" s="470">
        <v>2027</v>
      </c>
      <c r="E158" s="567">
        <f>F158+G158+H158+I158+J158</f>
        <v>3.42</v>
      </c>
      <c r="F158" s="567">
        <v>0.17</v>
      </c>
      <c r="G158" s="567">
        <v>0</v>
      </c>
      <c r="H158" s="567">
        <f>3.42-F158</f>
        <v>3.25</v>
      </c>
      <c r="I158" s="567">
        <v>0</v>
      </c>
      <c r="J158" s="567">
        <v>0</v>
      </c>
      <c r="K158" s="52">
        <f t="shared" si="73"/>
        <v>3.42</v>
      </c>
      <c r="L158" s="917"/>
      <c r="M158" s="50"/>
      <c r="N158" s="51"/>
      <c r="O158" s="784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6"/>
    </row>
    <row r="159" spans="1:57" s="48" customFormat="1" ht="25.5" customHeight="1" x14ac:dyDescent="0.2">
      <c r="A159" s="697" t="s">
        <v>1081</v>
      </c>
      <c r="B159" s="969" t="s">
        <v>1073</v>
      </c>
      <c r="C159" s="728" t="s">
        <v>1124</v>
      </c>
      <c r="D159" s="46" t="s">
        <v>513</v>
      </c>
      <c r="E159" s="567">
        <f t="shared" ref="E159:E161" si="85">F159+G159+H159+I159+J159</f>
        <v>0</v>
      </c>
      <c r="F159" s="567">
        <v>0</v>
      </c>
      <c r="G159" s="567">
        <v>0</v>
      </c>
      <c r="H159" s="567">
        <v>0</v>
      </c>
      <c r="I159" s="567">
        <v>0</v>
      </c>
      <c r="J159" s="567">
        <v>0</v>
      </c>
      <c r="K159" s="52">
        <f t="shared" si="73"/>
        <v>0</v>
      </c>
      <c r="L159" s="507"/>
      <c r="M159" s="50"/>
      <c r="N159" s="51"/>
      <c r="O159" s="784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6"/>
    </row>
    <row r="160" spans="1:57" s="48" customFormat="1" x14ac:dyDescent="0.2">
      <c r="A160" s="698"/>
      <c r="B160" s="970"/>
      <c r="C160" s="729"/>
      <c r="D160" s="470">
        <v>2020</v>
      </c>
      <c r="E160" s="567">
        <f t="shared" si="85"/>
        <v>0</v>
      </c>
      <c r="F160" s="494">
        <v>0</v>
      </c>
      <c r="G160" s="494">
        <v>0</v>
      </c>
      <c r="H160" s="494">
        <v>0</v>
      </c>
      <c r="I160" s="567">
        <v>0</v>
      </c>
      <c r="J160" s="567">
        <v>0</v>
      </c>
      <c r="K160" s="52">
        <f t="shared" si="73"/>
        <v>0</v>
      </c>
      <c r="L160" s="469" t="s">
        <v>1074</v>
      </c>
      <c r="M160" s="50"/>
      <c r="N160" s="51"/>
      <c r="O160" s="784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6"/>
    </row>
    <row r="161" spans="1:57" s="48" customFormat="1" x14ac:dyDescent="0.2">
      <c r="A161" s="734"/>
      <c r="B161" s="971"/>
      <c r="C161" s="729"/>
      <c r="D161" s="470">
        <v>2021</v>
      </c>
      <c r="E161" s="567">
        <f t="shared" si="85"/>
        <v>0</v>
      </c>
      <c r="F161" s="493">
        <v>0</v>
      </c>
      <c r="G161" s="493">
        <v>0</v>
      </c>
      <c r="H161" s="567">
        <v>0</v>
      </c>
      <c r="I161" s="567">
        <v>0</v>
      </c>
      <c r="J161" s="567">
        <v>0</v>
      </c>
      <c r="K161" s="52">
        <f t="shared" si="73"/>
        <v>0</v>
      </c>
      <c r="L161" s="469"/>
      <c r="M161" s="50"/>
      <c r="N161" s="51"/>
      <c r="O161" s="784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6"/>
    </row>
    <row r="162" spans="1:57" s="48" customFormat="1" x14ac:dyDescent="0.2">
      <c r="A162" s="697" t="s">
        <v>1082</v>
      </c>
      <c r="B162" s="913" t="s">
        <v>1063</v>
      </c>
      <c r="C162" s="729"/>
      <c r="D162" s="46" t="s">
        <v>513</v>
      </c>
      <c r="E162" s="567">
        <v>0</v>
      </c>
      <c r="F162" s="493">
        <v>0</v>
      </c>
      <c r="G162" s="493">
        <v>0</v>
      </c>
      <c r="H162" s="567">
        <v>0</v>
      </c>
      <c r="I162" s="567">
        <v>0</v>
      </c>
      <c r="J162" s="567">
        <v>0</v>
      </c>
      <c r="K162" s="52">
        <f t="shared" si="73"/>
        <v>0</v>
      </c>
      <c r="L162" s="469"/>
      <c r="M162" s="50"/>
      <c r="N162" s="51"/>
      <c r="O162" s="784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6"/>
    </row>
    <row r="163" spans="1:57" s="48" customFormat="1" x14ac:dyDescent="0.2">
      <c r="A163" s="698"/>
      <c r="B163" s="914"/>
      <c r="C163" s="729"/>
      <c r="D163" s="470">
        <v>2020</v>
      </c>
      <c r="E163" s="567">
        <v>0</v>
      </c>
      <c r="F163" s="493">
        <v>0</v>
      </c>
      <c r="G163" s="493">
        <v>0</v>
      </c>
      <c r="H163" s="567">
        <v>0</v>
      </c>
      <c r="I163" s="567">
        <v>0</v>
      </c>
      <c r="J163" s="567">
        <v>0</v>
      </c>
      <c r="K163" s="52">
        <f t="shared" si="73"/>
        <v>0</v>
      </c>
      <c r="L163" s="469" t="s">
        <v>1070</v>
      </c>
      <c r="M163" s="50"/>
      <c r="N163" s="51"/>
      <c r="O163" s="784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6"/>
    </row>
    <row r="164" spans="1:57" s="48" customFormat="1" x14ac:dyDescent="0.2">
      <c r="A164" s="734"/>
      <c r="B164" s="915"/>
      <c r="C164" s="729"/>
      <c r="D164" s="470">
        <v>2021</v>
      </c>
      <c r="E164" s="567">
        <v>0</v>
      </c>
      <c r="F164" s="493">
        <v>0</v>
      </c>
      <c r="G164" s="493">
        <v>0</v>
      </c>
      <c r="H164" s="567">
        <v>0</v>
      </c>
      <c r="I164" s="567">
        <v>0</v>
      </c>
      <c r="J164" s="567">
        <v>0</v>
      </c>
      <c r="K164" s="52">
        <f t="shared" si="73"/>
        <v>0</v>
      </c>
      <c r="L164" s="469"/>
      <c r="M164" s="50"/>
      <c r="N164" s="51"/>
      <c r="O164" s="784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6"/>
    </row>
    <row r="165" spans="1:57" s="48" customFormat="1" ht="12.75" customHeight="1" x14ac:dyDescent="0.2">
      <c r="A165" s="967" t="s">
        <v>1083</v>
      </c>
      <c r="B165" s="969" t="s">
        <v>1072</v>
      </c>
      <c r="C165" s="729"/>
      <c r="D165" s="46" t="s">
        <v>513</v>
      </c>
      <c r="E165" s="567">
        <v>0</v>
      </c>
      <c r="F165" s="493">
        <v>0</v>
      </c>
      <c r="G165" s="493">
        <v>0</v>
      </c>
      <c r="H165" s="567">
        <v>0</v>
      </c>
      <c r="I165" s="567">
        <v>0</v>
      </c>
      <c r="J165" s="567">
        <v>0</v>
      </c>
      <c r="K165" s="52">
        <f t="shared" si="73"/>
        <v>0</v>
      </c>
      <c r="L165" s="469"/>
      <c r="M165" s="50"/>
      <c r="N165" s="51"/>
      <c r="O165" s="784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6"/>
    </row>
    <row r="166" spans="1:57" s="48" customFormat="1" x14ac:dyDescent="0.2">
      <c r="A166" s="967"/>
      <c r="B166" s="970"/>
      <c r="C166" s="729"/>
      <c r="D166" s="470">
        <v>2020</v>
      </c>
      <c r="E166" s="567">
        <v>0</v>
      </c>
      <c r="F166" s="567">
        <v>0</v>
      </c>
      <c r="G166" s="567">
        <v>0</v>
      </c>
      <c r="H166" s="567">
        <v>0</v>
      </c>
      <c r="I166" s="567">
        <v>0</v>
      </c>
      <c r="J166" s="567">
        <v>0</v>
      </c>
      <c r="K166" s="52">
        <f t="shared" si="73"/>
        <v>0</v>
      </c>
      <c r="L166" s="469" t="s">
        <v>1071</v>
      </c>
      <c r="M166" s="50"/>
      <c r="N166" s="51"/>
      <c r="O166" s="784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6"/>
    </row>
    <row r="167" spans="1:57" s="48" customFormat="1" x14ac:dyDescent="0.2">
      <c r="A167" s="967"/>
      <c r="B167" s="971"/>
      <c r="C167" s="729"/>
      <c r="D167" s="470">
        <v>2021</v>
      </c>
      <c r="E167" s="567">
        <v>0</v>
      </c>
      <c r="F167" s="567">
        <v>0</v>
      </c>
      <c r="G167" s="567">
        <v>0</v>
      </c>
      <c r="H167" s="567">
        <v>0</v>
      </c>
      <c r="I167" s="567">
        <v>0</v>
      </c>
      <c r="J167" s="567">
        <v>0</v>
      </c>
      <c r="K167" s="52">
        <f t="shared" si="73"/>
        <v>0</v>
      </c>
      <c r="L167" s="469"/>
      <c r="M167" s="50"/>
      <c r="N167" s="51"/>
      <c r="O167" s="784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6"/>
    </row>
    <row r="168" spans="1:57" s="48" customFormat="1" x14ac:dyDescent="0.2">
      <c r="A168" s="697" t="s">
        <v>1084</v>
      </c>
      <c r="B168" s="571" t="s">
        <v>1064</v>
      </c>
      <c r="C168" s="729"/>
      <c r="D168" s="46" t="s">
        <v>513</v>
      </c>
      <c r="E168" s="567">
        <v>0</v>
      </c>
      <c r="F168" s="567">
        <v>0</v>
      </c>
      <c r="G168" s="567">
        <v>0</v>
      </c>
      <c r="H168" s="567">
        <v>0</v>
      </c>
      <c r="I168" s="567">
        <v>0</v>
      </c>
      <c r="J168" s="567">
        <v>0</v>
      </c>
      <c r="K168" s="52">
        <f t="shared" si="73"/>
        <v>0</v>
      </c>
      <c r="L168" s="469"/>
      <c r="M168" s="50"/>
      <c r="N168" s="51"/>
      <c r="O168" s="784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6"/>
    </row>
    <row r="169" spans="1:57" s="48" customFormat="1" x14ac:dyDescent="0.2">
      <c r="A169" s="698"/>
      <c r="B169" s="572"/>
      <c r="C169" s="729"/>
      <c r="D169" s="470">
        <v>2020</v>
      </c>
      <c r="E169" s="567">
        <v>0</v>
      </c>
      <c r="F169" s="567">
        <v>0</v>
      </c>
      <c r="G169" s="567">
        <v>0</v>
      </c>
      <c r="H169" s="567">
        <v>0</v>
      </c>
      <c r="I169" s="567">
        <v>0</v>
      </c>
      <c r="J169" s="567">
        <v>0</v>
      </c>
      <c r="K169" s="52">
        <f t="shared" si="73"/>
        <v>0</v>
      </c>
      <c r="L169" s="469" t="s">
        <v>239</v>
      </c>
      <c r="M169" s="50"/>
      <c r="N169" s="51"/>
      <c r="O169" s="784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6"/>
    </row>
    <row r="170" spans="1:57" s="48" customFormat="1" x14ac:dyDescent="0.2">
      <c r="A170" s="734"/>
      <c r="B170" s="573"/>
      <c r="C170" s="729"/>
      <c r="D170" s="470">
        <v>2021</v>
      </c>
      <c r="E170" s="567">
        <v>0</v>
      </c>
      <c r="F170" s="567">
        <v>0</v>
      </c>
      <c r="G170" s="567">
        <v>0</v>
      </c>
      <c r="H170" s="567">
        <v>0</v>
      </c>
      <c r="I170" s="567">
        <v>0</v>
      </c>
      <c r="J170" s="567">
        <v>0</v>
      </c>
      <c r="K170" s="52">
        <f t="shared" si="73"/>
        <v>0</v>
      </c>
      <c r="L170" s="469"/>
      <c r="M170" s="50"/>
      <c r="N170" s="51"/>
      <c r="O170" s="784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6"/>
    </row>
    <row r="171" spans="1:57" s="48" customFormat="1" ht="25.5" customHeight="1" x14ac:dyDescent="0.2">
      <c r="A171" s="697" t="s">
        <v>554</v>
      </c>
      <c r="B171" s="969" t="s">
        <v>1069</v>
      </c>
      <c r="C171" s="729"/>
      <c r="D171" s="46" t="s">
        <v>513</v>
      </c>
      <c r="E171" s="567">
        <v>0</v>
      </c>
      <c r="F171" s="567">
        <v>0</v>
      </c>
      <c r="G171" s="567">
        <v>0</v>
      </c>
      <c r="H171" s="567">
        <v>0</v>
      </c>
      <c r="I171" s="567">
        <v>0</v>
      </c>
      <c r="J171" s="567">
        <v>0</v>
      </c>
      <c r="K171" s="52">
        <f t="shared" si="73"/>
        <v>0</v>
      </c>
      <c r="L171" s="469" t="s">
        <v>810</v>
      </c>
      <c r="M171" s="50"/>
      <c r="N171" s="51"/>
      <c r="O171" s="784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6"/>
    </row>
    <row r="172" spans="1:57" s="48" customFormat="1" x14ac:dyDescent="0.2">
      <c r="A172" s="698"/>
      <c r="B172" s="970"/>
      <c r="C172" s="729"/>
      <c r="D172" s="470">
        <v>2020</v>
      </c>
      <c r="E172" s="567">
        <v>0</v>
      </c>
      <c r="F172" s="567">
        <v>0</v>
      </c>
      <c r="G172" s="567">
        <v>0</v>
      </c>
      <c r="H172" s="567">
        <v>0</v>
      </c>
      <c r="I172" s="567">
        <v>0</v>
      </c>
      <c r="J172" s="567">
        <v>0</v>
      </c>
      <c r="K172" s="52">
        <f t="shared" si="73"/>
        <v>0</v>
      </c>
      <c r="L172" s="469"/>
      <c r="M172" s="50"/>
      <c r="N172" s="51"/>
      <c r="O172" s="784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6"/>
    </row>
    <row r="173" spans="1:57" s="48" customFormat="1" x14ac:dyDescent="0.2">
      <c r="A173" s="734"/>
      <c r="B173" s="971"/>
      <c r="C173" s="742"/>
      <c r="D173" s="470">
        <v>2021</v>
      </c>
      <c r="E173" s="567">
        <v>0</v>
      </c>
      <c r="F173" s="567">
        <v>0</v>
      </c>
      <c r="G173" s="567">
        <v>0</v>
      </c>
      <c r="H173" s="567">
        <v>0</v>
      </c>
      <c r="I173" s="567">
        <v>0</v>
      </c>
      <c r="J173" s="567">
        <v>0</v>
      </c>
      <c r="K173" s="52">
        <f t="shared" si="73"/>
        <v>0</v>
      </c>
      <c r="L173" s="469"/>
      <c r="M173" s="50"/>
      <c r="N173" s="51"/>
      <c r="O173" s="784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6"/>
    </row>
    <row r="174" spans="1:57" s="48" customFormat="1" x14ac:dyDescent="0.2">
      <c r="A174" s="697" t="s">
        <v>585</v>
      </c>
      <c r="B174" s="968" t="s">
        <v>1068</v>
      </c>
      <c r="C174" s="728" t="s">
        <v>1066</v>
      </c>
      <c r="D174" s="46" t="s">
        <v>513</v>
      </c>
      <c r="E174" s="567">
        <v>0</v>
      </c>
      <c r="F174" s="567">
        <v>0</v>
      </c>
      <c r="G174" s="567">
        <v>0</v>
      </c>
      <c r="H174" s="567">
        <v>0</v>
      </c>
      <c r="I174" s="567">
        <v>0</v>
      </c>
      <c r="J174" s="567">
        <v>0</v>
      </c>
      <c r="K174" s="52">
        <f t="shared" si="73"/>
        <v>0</v>
      </c>
      <c r="L174" s="469"/>
      <c r="M174" s="50"/>
      <c r="N174" s="51"/>
      <c r="O174" s="784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6"/>
    </row>
    <row r="175" spans="1:57" s="48" customFormat="1" x14ac:dyDescent="0.2">
      <c r="A175" s="698"/>
      <c r="B175" s="968"/>
      <c r="C175" s="742"/>
      <c r="D175" s="470">
        <v>2023</v>
      </c>
      <c r="E175" s="567">
        <v>0</v>
      </c>
      <c r="F175" s="567">
        <v>0</v>
      </c>
      <c r="G175" s="567">
        <v>0</v>
      </c>
      <c r="H175" s="567">
        <v>0</v>
      </c>
      <c r="I175" s="567">
        <v>0</v>
      </c>
      <c r="J175" s="567">
        <v>0</v>
      </c>
      <c r="K175" s="52">
        <f t="shared" si="73"/>
        <v>0</v>
      </c>
      <c r="L175" s="469" t="s">
        <v>1067</v>
      </c>
      <c r="M175" s="50"/>
      <c r="N175" s="51"/>
      <c r="O175" s="784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6"/>
    </row>
    <row r="176" spans="1:57" s="48" customFormat="1" x14ac:dyDescent="0.2">
      <c r="A176" s="967" t="s">
        <v>586</v>
      </c>
      <c r="B176" s="968" t="s">
        <v>1075</v>
      </c>
      <c r="C176" s="728" t="s">
        <v>1066</v>
      </c>
      <c r="D176" s="46" t="s">
        <v>513</v>
      </c>
      <c r="E176" s="567">
        <v>0</v>
      </c>
      <c r="F176" s="567">
        <v>0</v>
      </c>
      <c r="G176" s="567">
        <v>0</v>
      </c>
      <c r="H176" s="567">
        <v>0</v>
      </c>
      <c r="I176" s="567">
        <v>0</v>
      </c>
      <c r="J176" s="567">
        <v>0</v>
      </c>
      <c r="K176" s="52">
        <f t="shared" si="73"/>
        <v>0</v>
      </c>
      <c r="L176" s="469"/>
      <c r="M176" s="50"/>
      <c r="N176" s="51"/>
      <c r="O176" s="784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6"/>
    </row>
    <row r="177" spans="1:57" s="48" customFormat="1" x14ac:dyDescent="0.2">
      <c r="A177" s="967"/>
      <c r="B177" s="968"/>
      <c r="C177" s="742"/>
      <c r="D177" s="470">
        <v>2024</v>
      </c>
      <c r="E177" s="567">
        <v>0</v>
      </c>
      <c r="F177" s="567">
        <v>0</v>
      </c>
      <c r="G177" s="567">
        <v>0</v>
      </c>
      <c r="H177" s="567">
        <v>0</v>
      </c>
      <c r="I177" s="567">
        <v>0</v>
      </c>
      <c r="J177" s="567">
        <v>0</v>
      </c>
      <c r="K177" s="52">
        <f t="shared" si="73"/>
        <v>0</v>
      </c>
      <c r="L177" s="469" t="s">
        <v>1076</v>
      </c>
      <c r="M177" s="50"/>
      <c r="N177" s="51"/>
      <c r="O177" s="784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6"/>
    </row>
    <row r="178" spans="1:57" s="48" customFormat="1" x14ac:dyDescent="0.2">
      <c r="A178" s="496" t="s">
        <v>587</v>
      </c>
      <c r="B178" s="968" t="s">
        <v>1068</v>
      </c>
      <c r="C178" s="728" t="s">
        <v>970</v>
      </c>
      <c r="D178" s="46" t="s">
        <v>513</v>
      </c>
      <c r="E178" s="567">
        <f>E179</f>
        <v>0</v>
      </c>
      <c r="F178" s="567">
        <f t="shared" ref="F178:J178" si="86">F179</f>
        <v>0</v>
      </c>
      <c r="G178" s="567">
        <f t="shared" si="86"/>
        <v>0</v>
      </c>
      <c r="H178" s="567">
        <f t="shared" si="86"/>
        <v>0</v>
      </c>
      <c r="I178" s="567">
        <f t="shared" si="86"/>
        <v>0</v>
      </c>
      <c r="J178" s="567">
        <f t="shared" si="86"/>
        <v>0</v>
      </c>
      <c r="K178" s="52">
        <f t="shared" si="73"/>
        <v>0</v>
      </c>
      <c r="L178" s="469"/>
      <c r="M178" s="50"/>
      <c r="N178" s="51"/>
      <c r="O178" s="784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6"/>
    </row>
    <row r="179" spans="1:57" s="48" customFormat="1" x14ac:dyDescent="0.2">
      <c r="A179" s="500"/>
      <c r="B179" s="968"/>
      <c r="C179" s="742"/>
      <c r="D179" s="470">
        <v>2028</v>
      </c>
      <c r="E179" s="567">
        <v>0</v>
      </c>
      <c r="F179" s="567">
        <v>0</v>
      </c>
      <c r="G179" s="567">
        <v>0</v>
      </c>
      <c r="H179" s="567">
        <v>0</v>
      </c>
      <c r="I179" s="567">
        <v>0</v>
      </c>
      <c r="J179" s="567">
        <v>0</v>
      </c>
      <c r="K179" s="52">
        <f t="shared" si="73"/>
        <v>0</v>
      </c>
      <c r="L179" s="469" t="s">
        <v>598</v>
      </c>
      <c r="M179" s="50"/>
      <c r="N179" s="51"/>
      <c r="O179" s="784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6"/>
    </row>
    <row r="180" spans="1:57" s="48" customFormat="1" x14ac:dyDescent="0.2">
      <c r="A180" s="496" t="s">
        <v>631</v>
      </c>
      <c r="B180" s="968" t="s">
        <v>1068</v>
      </c>
      <c r="C180" s="728" t="s">
        <v>970</v>
      </c>
      <c r="D180" s="46" t="s">
        <v>513</v>
      </c>
      <c r="E180" s="567">
        <f>E181</f>
        <v>0</v>
      </c>
      <c r="F180" s="567">
        <f t="shared" ref="F180:J180" si="87">F181</f>
        <v>0</v>
      </c>
      <c r="G180" s="567">
        <f t="shared" si="87"/>
        <v>0</v>
      </c>
      <c r="H180" s="567">
        <f t="shared" si="87"/>
        <v>0</v>
      </c>
      <c r="I180" s="567">
        <f t="shared" si="87"/>
        <v>0</v>
      </c>
      <c r="J180" s="567">
        <f t="shared" si="87"/>
        <v>0</v>
      </c>
      <c r="K180" s="52">
        <f t="shared" si="73"/>
        <v>0</v>
      </c>
      <c r="L180" s="507"/>
      <c r="M180" s="50"/>
      <c r="N180" s="51"/>
      <c r="O180" s="784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6"/>
    </row>
    <row r="181" spans="1:57" s="48" customFormat="1" x14ac:dyDescent="0.2">
      <c r="A181" s="496"/>
      <c r="B181" s="968"/>
      <c r="C181" s="742"/>
      <c r="D181" s="470">
        <v>2029</v>
      </c>
      <c r="E181" s="567">
        <v>0</v>
      </c>
      <c r="F181" s="567">
        <v>0</v>
      </c>
      <c r="G181" s="567">
        <v>0</v>
      </c>
      <c r="H181" s="567">
        <v>0</v>
      </c>
      <c r="I181" s="567">
        <v>0</v>
      </c>
      <c r="J181" s="567">
        <v>0</v>
      </c>
      <c r="K181" s="52">
        <f t="shared" si="73"/>
        <v>0</v>
      </c>
      <c r="L181" s="507"/>
      <c r="M181" s="50"/>
      <c r="N181" s="51"/>
      <c r="O181" s="784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6"/>
    </row>
    <row r="182" spans="1:57" s="48" customFormat="1" x14ac:dyDescent="0.2">
      <c r="A182" s="967" t="s">
        <v>632</v>
      </c>
      <c r="B182" s="705" t="s">
        <v>856</v>
      </c>
      <c r="C182" s="705" t="s">
        <v>970</v>
      </c>
      <c r="D182" s="46" t="s">
        <v>198</v>
      </c>
      <c r="E182" s="47">
        <f>E183+E184</f>
        <v>15.75</v>
      </c>
      <c r="F182" s="47">
        <f>F183+F184</f>
        <v>1.5</v>
      </c>
      <c r="G182" s="47">
        <f t="shared" ref="G182:J182" si="88">G183+G184</f>
        <v>0</v>
      </c>
      <c r="H182" s="47">
        <f t="shared" si="88"/>
        <v>14.25</v>
      </c>
      <c r="I182" s="47">
        <f t="shared" si="88"/>
        <v>0</v>
      </c>
      <c r="J182" s="47">
        <f t="shared" si="88"/>
        <v>0</v>
      </c>
      <c r="K182" s="52">
        <f t="shared" si="73"/>
        <v>15.75</v>
      </c>
      <c r="L182" s="806" t="s">
        <v>567</v>
      </c>
      <c r="M182" s="50"/>
      <c r="N182" s="109"/>
      <c r="O182" s="941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6"/>
    </row>
    <row r="183" spans="1:57" s="48" customFormat="1" ht="13.5" customHeight="1" x14ac:dyDescent="0.2">
      <c r="A183" s="967"/>
      <c r="B183" s="706"/>
      <c r="C183" s="706"/>
      <c r="D183" s="470">
        <v>2026</v>
      </c>
      <c r="E183" s="567">
        <f>F183+G183+H183+I183+J183</f>
        <v>0.75</v>
      </c>
      <c r="F183" s="567">
        <v>0.75</v>
      </c>
      <c r="G183" s="567">
        <v>0</v>
      </c>
      <c r="H183" s="567">
        <v>0</v>
      </c>
      <c r="I183" s="567">
        <v>0</v>
      </c>
      <c r="J183" s="567">
        <v>0</v>
      </c>
      <c r="K183" s="52">
        <f t="shared" si="73"/>
        <v>0.75</v>
      </c>
      <c r="L183" s="636"/>
      <c r="M183" s="50"/>
      <c r="N183" s="109"/>
      <c r="O183" s="941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6"/>
    </row>
    <row r="184" spans="1:57" s="48" customFormat="1" x14ac:dyDescent="0.2">
      <c r="A184" s="967"/>
      <c r="B184" s="730"/>
      <c r="C184" s="735"/>
      <c r="D184" s="470">
        <v>2027</v>
      </c>
      <c r="E184" s="567">
        <f>F184+G184+H184+I184+J184</f>
        <v>15</v>
      </c>
      <c r="F184" s="567">
        <v>0.75</v>
      </c>
      <c r="G184" s="567">
        <v>0</v>
      </c>
      <c r="H184" s="567">
        <v>14.25</v>
      </c>
      <c r="I184" s="567">
        <v>0</v>
      </c>
      <c r="J184" s="567">
        <v>0</v>
      </c>
      <c r="K184" s="52">
        <f t="shared" si="73"/>
        <v>15</v>
      </c>
      <c r="L184" s="637"/>
      <c r="M184" s="50"/>
      <c r="N184" s="109"/>
      <c r="O184" s="941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6"/>
    </row>
    <row r="185" spans="1:57" s="48" customFormat="1" ht="19.5" customHeight="1" x14ac:dyDescent="0.2">
      <c r="A185" s="697" t="s">
        <v>633</v>
      </c>
      <c r="B185" s="705" t="s">
        <v>1056</v>
      </c>
      <c r="D185" s="46" t="s">
        <v>198</v>
      </c>
      <c r="E185" s="47">
        <f>E186+E187+E188</f>
        <v>280.9495</v>
      </c>
      <c r="F185" s="47">
        <f t="shared" ref="F185:I185" si="89">F186+F187+F188</f>
        <v>14.047500000000001</v>
      </c>
      <c r="G185" s="47">
        <f t="shared" si="89"/>
        <v>0</v>
      </c>
      <c r="H185" s="47">
        <f>H186+H187+H188</f>
        <v>266.90200000000004</v>
      </c>
      <c r="I185" s="47">
        <f t="shared" si="89"/>
        <v>0</v>
      </c>
      <c r="J185" s="47">
        <f>J186+J187+J188</f>
        <v>0</v>
      </c>
      <c r="K185" s="52">
        <f t="shared" si="73"/>
        <v>280.94950000000006</v>
      </c>
      <c r="L185" s="806" t="s">
        <v>436</v>
      </c>
      <c r="M185" s="50"/>
      <c r="N185" s="850">
        <v>90</v>
      </c>
      <c r="O185" s="941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6"/>
    </row>
    <row r="186" spans="1:57" s="48" customFormat="1" x14ac:dyDescent="0.2">
      <c r="A186" s="698"/>
      <c r="B186" s="706"/>
      <c r="C186" s="502" t="s">
        <v>1050</v>
      </c>
      <c r="D186" s="470">
        <v>2023</v>
      </c>
      <c r="E186" s="567">
        <f t="shared" ref="E186:E187" si="90">F186+G186+H186+I186+J186</f>
        <v>102.9495</v>
      </c>
      <c r="F186" s="567">
        <v>5.1475</v>
      </c>
      <c r="G186" s="567">
        <v>0</v>
      </c>
      <c r="H186" s="567">
        <v>97.802000000000007</v>
      </c>
      <c r="I186" s="567">
        <v>0</v>
      </c>
      <c r="J186" s="567">
        <v>0</v>
      </c>
      <c r="K186" s="52">
        <f t="shared" si="73"/>
        <v>102.9495</v>
      </c>
      <c r="L186" s="636"/>
      <c r="M186" s="50"/>
      <c r="N186" s="634"/>
      <c r="O186" s="941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6"/>
    </row>
    <row r="187" spans="1:57" s="48" customFormat="1" x14ac:dyDescent="0.2">
      <c r="A187" s="698"/>
      <c r="B187" s="706"/>
      <c r="C187" s="503"/>
      <c r="D187" s="470">
        <v>2024</v>
      </c>
      <c r="E187" s="567">
        <f t="shared" si="90"/>
        <v>150</v>
      </c>
      <c r="F187" s="567">
        <v>7.5</v>
      </c>
      <c r="G187" s="567">
        <v>0</v>
      </c>
      <c r="H187" s="567">
        <v>142.5</v>
      </c>
      <c r="I187" s="567">
        <v>0</v>
      </c>
      <c r="J187" s="567">
        <v>0</v>
      </c>
      <c r="K187" s="52">
        <f t="shared" si="73"/>
        <v>150</v>
      </c>
      <c r="L187" s="636"/>
      <c r="M187" s="50"/>
      <c r="N187" s="634"/>
      <c r="O187" s="941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6"/>
    </row>
    <row r="188" spans="1:57" s="48" customFormat="1" ht="21.75" customHeight="1" x14ac:dyDescent="0.2">
      <c r="A188" s="698"/>
      <c r="B188" s="706"/>
      <c r="C188" s="530"/>
      <c r="D188" s="470">
        <v>2025</v>
      </c>
      <c r="E188" s="567">
        <f>F188+G188+H188+I188+J188</f>
        <v>28</v>
      </c>
      <c r="F188" s="567">
        <v>1.4</v>
      </c>
      <c r="G188" s="567">
        <v>0</v>
      </c>
      <c r="H188" s="567">
        <v>26.6</v>
      </c>
      <c r="I188" s="567">
        <v>0</v>
      </c>
      <c r="J188" s="567">
        <v>0</v>
      </c>
      <c r="K188" s="52">
        <f t="shared" si="73"/>
        <v>28</v>
      </c>
      <c r="L188" s="637"/>
      <c r="M188" s="50"/>
      <c r="N188" s="849"/>
      <c r="O188" s="941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6"/>
    </row>
    <row r="189" spans="1:57" s="48" customFormat="1" ht="17.25" customHeight="1" x14ac:dyDescent="0.2">
      <c r="A189" s="697" t="s">
        <v>634</v>
      </c>
      <c r="B189" s="705" t="s">
        <v>1057</v>
      </c>
      <c r="C189" s="137"/>
      <c r="D189" s="46" t="s">
        <v>198</v>
      </c>
      <c r="E189" s="47">
        <f>E190+E191</f>
        <v>78</v>
      </c>
      <c r="F189" s="47">
        <f t="shared" ref="F189:J189" si="91">F190+F191</f>
        <v>6.2750000000000004</v>
      </c>
      <c r="G189" s="47">
        <f t="shared" si="91"/>
        <v>0</v>
      </c>
      <c r="H189" s="47">
        <f t="shared" si="91"/>
        <v>71.724999999999994</v>
      </c>
      <c r="I189" s="47">
        <f t="shared" si="91"/>
        <v>0</v>
      </c>
      <c r="J189" s="47">
        <f t="shared" si="91"/>
        <v>0</v>
      </c>
      <c r="K189" s="52">
        <f t="shared" si="73"/>
        <v>78</v>
      </c>
      <c r="L189" s="812" t="s">
        <v>566</v>
      </c>
      <c r="M189" s="50"/>
      <c r="N189" s="109"/>
      <c r="O189" s="941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6"/>
    </row>
    <row r="190" spans="1:57" s="48" customFormat="1" ht="28.5" customHeight="1" x14ac:dyDescent="0.2">
      <c r="A190" s="698"/>
      <c r="B190" s="706"/>
      <c r="C190" s="728" t="s">
        <v>970</v>
      </c>
      <c r="D190" s="470">
        <v>2026</v>
      </c>
      <c r="E190" s="567">
        <f t="shared" ref="E190:E191" si="92">F190+G190+H190+I190+J190</f>
        <v>2.5</v>
      </c>
      <c r="F190" s="567">
        <v>2.5</v>
      </c>
      <c r="G190" s="567">
        <v>0</v>
      </c>
      <c r="H190" s="567">
        <v>0</v>
      </c>
      <c r="I190" s="567">
        <v>0</v>
      </c>
      <c r="J190" s="567">
        <v>0</v>
      </c>
      <c r="K190" s="52">
        <f t="shared" si="73"/>
        <v>2.5</v>
      </c>
      <c r="L190" s="861"/>
      <c r="M190" s="50"/>
      <c r="N190" s="109"/>
      <c r="O190" s="941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6"/>
    </row>
    <row r="191" spans="1:57" s="48" customFormat="1" ht="17.25" customHeight="1" x14ac:dyDescent="0.2">
      <c r="A191" s="496"/>
      <c r="B191" s="503"/>
      <c r="C191" s="742"/>
      <c r="D191" s="470">
        <v>2027</v>
      </c>
      <c r="E191" s="567">
        <f t="shared" si="92"/>
        <v>75.5</v>
      </c>
      <c r="F191" s="567">
        <v>3.7749999999999999</v>
      </c>
      <c r="G191" s="567">
        <v>0</v>
      </c>
      <c r="H191" s="567">
        <v>71.724999999999994</v>
      </c>
      <c r="I191" s="567">
        <v>0</v>
      </c>
      <c r="J191" s="567">
        <v>0</v>
      </c>
      <c r="K191" s="52">
        <f t="shared" si="73"/>
        <v>75.5</v>
      </c>
      <c r="L191" s="558"/>
      <c r="M191" s="50"/>
      <c r="N191" s="554"/>
      <c r="O191" s="941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6"/>
    </row>
    <row r="192" spans="1:57" s="48" customFormat="1" ht="12.75" customHeight="1" x14ac:dyDescent="0.2">
      <c r="A192" s="697" t="s">
        <v>635</v>
      </c>
      <c r="B192" s="728" t="s">
        <v>869</v>
      </c>
      <c r="C192" s="502" t="s">
        <v>1050</v>
      </c>
      <c r="D192" s="46" t="s">
        <v>198</v>
      </c>
      <c r="E192" s="47">
        <f>E193+E194</f>
        <v>90.933199999999999</v>
      </c>
      <c r="F192" s="47">
        <f t="shared" ref="F192:J192" si="93">F193+F194</f>
        <v>11.821400000000001</v>
      </c>
      <c r="G192" s="47">
        <f t="shared" si="93"/>
        <v>0</v>
      </c>
      <c r="H192" s="47">
        <f>H193+H194</f>
        <v>79.111800000000002</v>
      </c>
      <c r="I192" s="47">
        <f t="shared" si="93"/>
        <v>0</v>
      </c>
      <c r="J192" s="47">
        <f t="shared" si="93"/>
        <v>0</v>
      </c>
      <c r="K192" s="52">
        <f t="shared" si="73"/>
        <v>90.933199999999999</v>
      </c>
      <c r="L192" s="806"/>
      <c r="M192" s="50"/>
      <c r="N192" s="850"/>
      <c r="O192" s="941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6"/>
    </row>
    <row r="193" spans="1:57" s="48" customFormat="1" ht="12.75" customHeight="1" x14ac:dyDescent="0.2">
      <c r="A193" s="698"/>
      <c r="B193" s="729"/>
      <c r="C193" s="549"/>
      <c r="D193" s="470">
        <v>2020</v>
      </c>
      <c r="E193" s="567">
        <f>F193+G193+H193+I193+J193</f>
        <v>45.4666</v>
      </c>
      <c r="F193" s="567">
        <v>5.9107000000000003</v>
      </c>
      <c r="G193" s="567">
        <v>0</v>
      </c>
      <c r="H193" s="567">
        <v>39.555900000000001</v>
      </c>
      <c r="I193" s="567">
        <v>0</v>
      </c>
      <c r="J193" s="567">
        <v>0</v>
      </c>
      <c r="K193" s="52">
        <f t="shared" si="73"/>
        <v>45.4666</v>
      </c>
      <c r="L193" s="830"/>
      <c r="M193" s="50"/>
      <c r="N193" s="973"/>
      <c r="O193" s="941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6"/>
    </row>
    <row r="194" spans="1:57" s="48" customFormat="1" ht="12.75" customHeight="1" x14ac:dyDescent="0.2">
      <c r="A194" s="699"/>
      <c r="B194" s="742"/>
      <c r="C194" s="549"/>
      <c r="D194" s="470">
        <v>2021</v>
      </c>
      <c r="E194" s="567">
        <f>F194+G194+H194+I194+J194</f>
        <v>45.4666</v>
      </c>
      <c r="F194" s="567">
        <v>5.9107000000000003</v>
      </c>
      <c r="G194" s="567">
        <v>0</v>
      </c>
      <c r="H194" s="567">
        <v>39.555900000000001</v>
      </c>
      <c r="I194" s="567">
        <v>0</v>
      </c>
      <c r="J194" s="567">
        <v>0</v>
      </c>
      <c r="K194" s="52">
        <f t="shared" si="73"/>
        <v>45.4666</v>
      </c>
      <c r="L194" s="548"/>
      <c r="M194" s="50"/>
      <c r="N194" s="577"/>
      <c r="O194" s="941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6"/>
    </row>
    <row r="195" spans="1:57" s="48" customFormat="1" ht="12.75" customHeight="1" x14ac:dyDescent="0.2">
      <c r="A195" s="697" t="s">
        <v>636</v>
      </c>
      <c r="B195" s="705" t="s">
        <v>870</v>
      </c>
      <c r="C195" s="549"/>
      <c r="D195" s="46" t="s">
        <v>198</v>
      </c>
      <c r="E195" s="47">
        <f>E196</f>
        <v>2.4E-2</v>
      </c>
      <c r="F195" s="47">
        <f t="shared" ref="F195:J195" si="94">F196</f>
        <v>2.4E-2</v>
      </c>
      <c r="G195" s="47">
        <f t="shared" si="94"/>
        <v>0</v>
      </c>
      <c r="H195" s="47">
        <f t="shared" si="94"/>
        <v>0</v>
      </c>
      <c r="I195" s="47">
        <f t="shared" si="94"/>
        <v>0</v>
      </c>
      <c r="J195" s="47">
        <f t="shared" si="94"/>
        <v>0</v>
      </c>
      <c r="K195" s="52">
        <f t="shared" si="73"/>
        <v>2.4E-2</v>
      </c>
      <c r="L195" s="812"/>
      <c r="M195" s="50"/>
      <c r="N195" s="51"/>
      <c r="O195" s="941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6"/>
    </row>
    <row r="196" spans="1:57" s="48" customFormat="1" ht="27.75" customHeight="1" x14ac:dyDescent="0.2">
      <c r="A196" s="698"/>
      <c r="B196" s="706"/>
      <c r="C196" s="552" t="s">
        <v>384</v>
      </c>
      <c r="D196" s="470">
        <v>2019</v>
      </c>
      <c r="E196" s="567">
        <f t="shared" ref="E196" si="95">F196+G196+H196+I196+J196</f>
        <v>2.4E-2</v>
      </c>
      <c r="F196" s="567">
        <v>2.4E-2</v>
      </c>
      <c r="G196" s="567">
        <v>0</v>
      </c>
      <c r="H196" s="567">
        <v>0</v>
      </c>
      <c r="I196" s="567">
        <v>0</v>
      </c>
      <c r="J196" s="567">
        <v>0</v>
      </c>
      <c r="K196" s="52">
        <f t="shared" si="73"/>
        <v>2.4E-2</v>
      </c>
      <c r="L196" s="813"/>
      <c r="M196" s="50"/>
      <c r="N196" s="51"/>
      <c r="O196" s="941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6"/>
    </row>
    <row r="197" spans="1:57" s="48" customFormat="1" ht="12.75" customHeight="1" x14ac:dyDescent="0.2">
      <c r="A197" s="697" t="s">
        <v>637</v>
      </c>
      <c r="B197" s="705" t="s">
        <v>871</v>
      </c>
      <c r="C197" s="728" t="s">
        <v>384</v>
      </c>
      <c r="D197" s="46" t="s">
        <v>198</v>
      </c>
      <c r="E197" s="47">
        <f>E198</f>
        <v>2.3458999999999999</v>
      </c>
      <c r="F197" s="47">
        <f t="shared" ref="F197:J197" si="96">F198</f>
        <v>2.3458999999999999</v>
      </c>
      <c r="G197" s="47">
        <f t="shared" si="96"/>
        <v>0</v>
      </c>
      <c r="H197" s="47">
        <f t="shared" si="96"/>
        <v>0</v>
      </c>
      <c r="I197" s="47">
        <f t="shared" si="96"/>
        <v>0</v>
      </c>
      <c r="J197" s="47">
        <f t="shared" si="96"/>
        <v>0</v>
      </c>
      <c r="K197" s="52">
        <f t="shared" si="73"/>
        <v>2.3458999999999999</v>
      </c>
      <c r="L197" s="55"/>
      <c r="M197" s="50"/>
      <c r="N197" s="51"/>
      <c r="O197" s="941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6"/>
    </row>
    <row r="198" spans="1:57" s="48" customFormat="1" ht="12.75" customHeight="1" x14ac:dyDescent="0.2">
      <c r="A198" s="698"/>
      <c r="B198" s="706"/>
      <c r="C198" s="742"/>
      <c r="D198" s="470">
        <v>2019</v>
      </c>
      <c r="E198" s="567">
        <f t="shared" ref="E198" si="97">F198+G198+H198+I198+J198</f>
        <v>2.3458999999999999</v>
      </c>
      <c r="F198" s="567">
        <v>2.3458999999999999</v>
      </c>
      <c r="G198" s="567">
        <v>0</v>
      </c>
      <c r="H198" s="567">
        <v>0</v>
      </c>
      <c r="I198" s="567">
        <v>0</v>
      </c>
      <c r="J198" s="567">
        <v>0</v>
      </c>
      <c r="K198" s="52">
        <f t="shared" si="73"/>
        <v>2.3458999999999999</v>
      </c>
      <c r="L198" s="55"/>
      <c r="M198" s="50"/>
      <c r="N198" s="51"/>
      <c r="O198" s="941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6"/>
    </row>
    <row r="199" spans="1:57" s="48" customFormat="1" ht="12.75" customHeight="1" x14ac:dyDescent="0.2">
      <c r="A199" s="697" t="s">
        <v>638</v>
      </c>
      <c r="B199" s="705" t="s">
        <v>555</v>
      </c>
      <c r="C199" s="638" t="s">
        <v>970</v>
      </c>
      <c r="D199" s="46" t="s">
        <v>198</v>
      </c>
      <c r="E199" s="47">
        <f>E200+E201</f>
        <v>14.333299999999999</v>
      </c>
      <c r="F199" s="47">
        <f t="shared" ref="F199:J199" si="98">F200+F201</f>
        <v>1.0332999999999999</v>
      </c>
      <c r="G199" s="47">
        <f t="shared" si="98"/>
        <v>0</v>
      </c>
      <c r="H199" s="47">
        <f>H200+H201</f>
        <v>13.3</v>
      </c>
      <c r="I199" s="47">
        <f t="shared" si="98"/>
        <v>0</v>
      </c>
      <c r="J199" s="47">
        <f t="shared" si="98"/>
        <v>0</v>
      </c>
      <c r="K199" s="52">
        <f t="shared" si="73"/>
        <v>14.333300000000001</v>
      </c>
      <c r="L199" s="55"/>
      <c r="M199" s="50"/>
      <c r="N199" s="51"/>
      <c r="O199" s="941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6"/>
    </row>
    <row r="200" spans="1:57" s="48" customFormat="1" ht="12.75" customHeight="1" x14ac:dyDescent="0.2">
      <c r="A200" s="698"/>
      <c r="B200" s="706"/>
      <c r="C200" s="639"/>
      <c r="D200" s="470">
        <v>2026</v>
      </c>
      <c r="E200" s="567">
        <f t="shared" ref="E200:E201" si="99">F200+G200+H200+I200+J200</f>
        <v>0.33329999999999999</v>
      </c>
      <c r="F200" s="567">
        <v>0.33329999999999999</v>
      </c>
      <c r="G200" s="567">
        <v>0</v>
      </c>
      <c r="H200" s="567">
        <v>0</v>
      </c>
      <c r="I200" s="567">
        <v>0</v>
      </c>
      <c r="J200" s="567">
        <v>0</v>
      </c>
      <c r="K200" s="52">
        <f t="shared" si="73"/>
        <v>0.33329999999999999</v>
      </c>
      <c r="L200" s="55"/>
      <c r="M200" s="50"/>
      <c r="N200" s="51"/>
      <c r="O200" s="941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6"/>
    </row>
    <row r="201" spans="1:57" s="48" customFormat="1" ht="12.75" customHeight="1" x14ac:dyDescent="0.2">
      <c r="A201" s="699"/>
      <c r="B201" s="503"/>
      <c r="C201" s="639"/>
      <c r="D201" s="470">
        <v>2027</v>
      </c>
      <c r="E201" s="567">
        <f t="shared" si="99"/>
        <v>14</v>
      </c>
      <c r="F201" s="567">
        <v>0.7</v>
      </c>
      <c r="G201" s="567">
        <v>0</v>
      </c>
      <c r="H201" s="567">
        <v>13.3</v>
      </c>
      <c r="I201" s="567">
        <v>0</v>
      </c>
      <c r="J201" s="567">
        <v>0</v>
      </c>
      <c r="K201" s="52">
        <f t="shared" ref="K201:K266" si="100">F201+G201+H201+I201+J201</f>
        <v>14</v>
      </c>
      <c r="L201" s="55"/>
      <c r="M201" s="50"/>
      <c r="N201" s="51"/>
      <c r="O201" s="941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6"/>
    </row>
    <row r="202" spans="1:57" s="48" customFormat="1" ht="12.75" customHeight="1" x14ac:dyDescent="0.2">
      <c r="A202" s="697" t="s">
        <v>639</v>
      </c>
      <c r="B202" s="705" t="s">
        <v>556</v>
      </c>
      <c r="C202" s="671"/>
      <c r="D202" s="46" t="s">
        <v>198</v>
      </c>
      <c r="E202" s="47">
        <f>E203+E204</f>
        <v>14.333299999999999</v>
      </c>
      <c r="F202" s="47">
        <f t="shared" ref="F202:J202" si="101">F203+F204</f>
        <v>1.0332999999999999</v>
      </c>
      <c r="G202" s="47">
        <f t="shared" si="101"/>
        <v>0</v>
      </c>
      <c r="H202" s="47">
        <f t="shared" si="101"/>
        <v>13.3</v>
      </c>
      <c r="I202" s="47">
        <f t="shared" si="101"/>
        <v>0</v>
      </c>
      <c r="J202" s="47">
        <f t="shared" si="101"/>
        <v>0</v>
      </c>
      <c r="K202" s="52">
        <f t="shared" si="100"/>
        <v>14.333300000000001</v>
      </c>
      <c r="L202" s="55"/>
      <c r="M202" s="50"/>
      <c r="N202" s="51"/>
      <c r="O202" s="941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6"/>
    </row>
    <row r="203" spans="1:57" s="48" customFormat="1" ht="12.75" customHeight="1" x14ac:dyDescent="0.2">
      <c r="A203" s="699"/>
      <c r="B203" s="730"/>
      <c r="C203" s="671"/>
      <c r="D203" s="470">
        <v>2026</v>
      </c>
      <c r="E203" s="567">
        <f t="shared" ref="E203:E204" si="102">F203+G203+H203+I203+J203</f>
        <v>0.33329999999999999</v>
      </c>
      <c r="F203" s="567">
        <v>0.33329999999999999</v>
      </c>
      <c r="G203" s="567">
        <v>0</v>
      </c>
      <c r="H203" s="567">
        <v>0</v>
      </c>
      <c r="I203" s="567">
        <v>0</v>
      </c>
      <c r="J203" s="567">
        <v>0</v>
      </c>
      <c r="K203" s="52">
        <f t="shared" si="100"/>
        <v>0.33329999999999999</v>
      </c>
      <c r="L203" s="55"/>
      <c r="M203" s="50"/>
      <c r="N203" s="51"/>
      <c r="O203" s="941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6"/>
    </row>
    <row r="204" spans="1:57" s="48" customFormat="1" ht="12.75" customHeight="1" x14ac:dyDescent="0.2">
      <c r="A204" s="697" t="s">
        <v>640</v>
      </c>
      <c r="B204" s="503"/>
      <c r="C204" s="671"/>
      <c r="D204" s="470">
        <v>2027</v>
      </c>
      <c r="E204" s="567">
        <f t="shared" si="102"/>
        <v>14</v>
      </c>
      <c r="F204" s="567">
        <v>0.7</v>
      </c>
      <c r="G204" s="567">
        <v>0</v>
      </c>
      <c r="H204" s="567">
        <v>13.3</v>
      </c>
      <c r="I204" s="567">
        <v>0</v>
      </c>
      <c r="J204" s="567">
        <v>0</v>
      </c>
      <c r="K204" s="52">
        <f t="shared" si="100"/>
        <v>14</v>
      </c>
      <c r="L204" s="55"/>
      <c r="M204" s="50"/>
      <c r="N204" s="51"/>
      <c r="O204" s="941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6"/>
    </row>
    <row r="205" spans="1:57" s="48" customFormat="1" ht="15.75" customHeight="1" x14ac:dyDescent="0.2">
      <c r="A205" s="717"/>
      <c r="B205" s="706" t="s">
        <v>557</v>
      </c>
      <c r="C205" s="478"/>
      <c r="D205" s="46" t="s">
        <v>198</v>
      </c>
      <c r="E205" s="47">
        <f>E206+E207</f>
        <v>18.7499</v>
      </c>
      <c r="F205" s="47">
        <f t="shared" ref="F205:H205" si="103">F206+F207</f>
        <v>1.2541</v>
      </c>
      <c r="G205" s="47">
        <f t="shared" si="103"/>
        <v>0</v>
      </c>
      <c r="H205" s="47">
        <f t="shared" si="103"/>
        <v>17.495799999999999</v>
      </c>
      <c r="I205" s="47">
        <v>0</v>
      </c>
      <c r="J205" s="47">
        <v>0</v>
      </c>
      <c r="K205" s="52">
        <f t="shared" si="100"/>
        <v>18.7499</v>
      </c>
      <c r="L205" s="55"/>
      <c r="M205" s="50"/>
      <c r="N205" s="51"/>
      <c r="O205" s="941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6"/>
    </row>
    <row r="206" spans="1:57" s="48" customFormat="1" x14ac:dyDescent="0.2">
      <c r="A206" s="717"/>
      <c r="B206" s="706"/>
      <c r="C206" s="478"/>
      <c r="D206" s="470">
        <v>2026</v>
      </c>
      <c r="E206" s="567">
        <f>F206+G206+H206+I206+J206</f>
        <v>0.33329999999999999</v>
      </c>
      <c r="F206" s="567">
        <v>0.33329999999999999</v>
      </c>
      <c r="G206" s="567">
        <v>0</v>
      </c>
      <c r="H206" s="567">
        <v>0</v>
      </c>
      <c r="I206" s="567">
        <v>0</v>
      </c>
      <c r="J206" s="567">
        <v>0</v>
      </c>
      <c r="K206" s="52">
        <f t="shared" si="100"/>
        <v>0.33329999999999999</v>
      </c>
      <c r="L206" s="55"/>
      <c r="M206" s="50"/>
      <c r="N206" s="51"/>
      <c r="O206" s="941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6"/>
    </row>
    <row r="207" spans="1:57" s="48" customFormat="1" x14ac:dyDescent="0.2">
      <c r="A207" s="734"/>
      <c r="B207" s="730"/>
      <c r="C207" s="478"/>
      <c r="D207" s="470">
        <v>2027</v>
      </c>
      <c r="E207" s="567">
        <f>F207+G207+H207+I207+J207</f>
        <v>18.416599999999999</v>
      </c>
      <c r="F207" s="567">
        <v>0.92079999999999995</v>
      </c>
      <c r="G207" s="567">
        <v>0</v>
      </c>
      <c r="H207" s="567">
        <v>17.495799999999999</v>
      </c>
      <c r="I207" s="567">
        <v>0</v>
      </c>
      <c r="J207" s="567">
        <v>0</v>
      </c>
      <c r="K207" s="52">
        <f t="shared" si="100"/>
        <v>18.416599999999999</v>
      </c>
      <c r="L207" s="55"/>
      <c r="M207" s="50"/>
      <c r="N207" s="51"/>
      <c r="O207" s="941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6"/>
    </row>
    <row r="208" spans="1:57" s="48" customFormat="1" ht="12.75" customHeight="1" x14ac:dyDescent="0.2">
      <c r="A208" s="697" t="s">
        <v>641</v>
      </c>
      <c r="B208" s="705" t="s">
        <v>866</v>
      </c>
      <c r="C208" s="478"/>
      <c r="D208" s="46" t="s">
        <v>198</v>
      </c>
      <c r="E208" s="47">
        <f>E209+E210</f>
        <v>12.499899999999998</v>
      </c>
      <c r="F208" s="47">
        <f t="shared" ref="F208:J208" si="104">F209+F210</f>
        <v>0.94159999999999999</v>
      </c>
      <c r="G208" s="47">
        <f t="shared" si="104"/>
        <v>0</v>
      </c>
      <c r="H208" s="47">
        <f t="shared" si="104"/>
        <v>11.558299999999999</v>
      </c>
      <c r="I208" s="47">
        <f t="shared" si="104"/>
        <v>0</v>
      </c>
      <c r="J208" s="47">
        <f t="shared" si="104"/>
        <v>0</v>
      </c>
      <c r="K208" s="52">
        <f t="shared" si="100"/>
        <v>12.499899999999998</v>
      </c>
      <c r="L208" s="55"/>
      <c r="M208" s="50"/>
      <c r="N208" s="51"/>
      <c r="O208" s="941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6"/>
    </row>
    <row r="209" spans="1:57" s="48" customFormat="1" ht="12.75" customHeight="1" x14ac:dyDescent="0.2">
      <c r="A209" s="698"/>
      <c r="B209" s="706"/>
      <c r="C209" s="478"/>
      <c r="D209" s="470">
        <v>2026</v>
      </c>
      <c r="E209" s="567">
        <f>F209+G209+H209+I209+J209</f>
        <v>0.33329999999999999</v>
      </c>
      <c r="F209" s="567">
        <v>0.33329999999999999</v>
      </c>
      <c r="G209" s="567">
        <v>0</v>
      </c>
      <c r="H209" s="567">
        <v>0</v>
      </c>
      <c r="I209" s="567">
        <v>0</v>
      </c>
      <c r="J209" s="567">
        <v>0</v>
      </c>
      <c r="K209" s="52">
        <f t="shared" si="100"/>
        <v>0.33329999999999999</v>
      </c>
      <c r="L209" s="55"/>
      <c r="M209" s="50"/>
      <c r="N209" s="51"/>
      <c r="O209" s="941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6"/>
    </row>
    <row r="210" spans="1:57" s="48" customFormat="1" ht="12.75" customHeight="1" x14ac:dyDescent="0.2">
      <c r="A210" s="496"/>
      <c r="B210" s="503"/>
      <c r="C210" s="478"/>
      <c r="D210" s="470">
        <v>2027</v>
      </c>
      <c r="E210" s="567">
        <f>F210+G210+H210+I210+J210</f>
        <v>12.166599999999999</v>
      </c>
      <c r="F210" s="567">
        <v>0.60829999999999995</v>
      </c>
      <c r="G210" s="567">
        <v>0</v>
      </c>
      <c r="H210" s="567">
        <v>11.558299999999999</v>
      </c>
      <c r="I210" s="567">
        <v>0</v>
      </c>
      <c r="J210" s="567">
        <v>0</v>
      </c>
      <c r="K210" s="52">
        <f t="shared" si="100"/>
        <v>12.166599999999999</v>
      </c>
      <c r="L210" s="55"/>
      <c r="M210" s="50"/>
      <c r="N210" s="51"/>
      <c r="O210" s="941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6"/>
    </row>
    <row r="211" spans="1:57" s="48" customFormat="1" ht="12.75" customHeight="1" x14ac:dyDescent="0.2">
      <c r="A211" s="697" t="s">
        <v>642</v>
      </c>
      <c r="B211" s="705" t="s">
        <v>558</v>
      </c>
      <c r="C211" s="478"/>
      <c r="D211" s="46" t="s">
        <v>198</v>
      </c>
      <c r="E211" s="47">
        <f>E212+E213</f>
        <v>19.999999999999996</v>
      </c>
      <c r="F211" s="47">
        <f t="shared" ref="F211:J211" si="105">F212+F213</f>
        <v>0.94</v>
      </c>
      <c r="G211" s="47">
        <f t="shared" si="105"/>
        <v>0</v>
      </c>
      <c r="H211" s="47">
        <f t="shared" si="105"/>
        <v>19.059999999999999</v>
      </c>
      <c r="I211" s="47">
        <f t="shared" si="105"/>
        <v>0</v>
      </c>
      <c r="J211" s="47">
        <f t="shared" si="105"/>
        <v>0</v>
      </c>
      <c r="K211" s="52">
        <f t="shared" si="100"/>
        <v>20</v>
      </c>
      <c r="L211" s="55"/>
      <c r="M211" s="50"/>
      <c r="N211" s="51"/>
      <c r="O211" s="941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6"/>
    </row>
    <row r="212" spans="1:57" s="48" customFormat="1" ht="12.75" customHeight="1" x14ac:dyDescent="0.2">
      <c r="A212" s="698"/>
      <c r="B212" s="706"/>
      <c r="C212" s="478"/>
      <c r="D212" s="470">
        <v>2026</v>
      </c>
      <c r="E212" s="567">
        <f>F212</f>
        <v>0.2</v>
      </c>
      <c r="F212" s="567">
        <v>0.2</v>
      </c>
      <c r="G212" s="567">
        <v>0</v>
      </c>
      <c r="H212" s="567">
        <v>0</v>
      </c>
      <c r="I212" s="567">
        <v>0</v>
      </c>
      <c r="J212" s="567">
        <v>0</v>
      </c>
      <c r="K212" s="52">
        <f t="shared" si="100"/>
        <v>0.2</v>
      </c>
      <c r="L212" s="55"/>
      <c r="M212" s="50"/>
      <c r="N212" s="51"/>
      <c r="O212" s="941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6"/>
    </row>
    <row r="213" spans="1:57" s="48" customFormat="1" ht="12.75" customHeight="1" x14ac:dyDescent="0.2">
      <c r="A213" s="699"/>
      <c r="B213" s="730"/>
      <c r="C213" s="478"/>
      <c r="D213" s="470">
        <v>2027</v>
      </c>
      <c r="E213" s="567">
        <f t="shared" ref="E213" si="106">F213+G213+H213+I213+J213</f>
        <v>19.799999999999997</v>
      </c>
      <c r="F213" s="567">
        <v>0.74</v>
      </c>
      <c r="G213" s="567">
        <v>0</v>
      </c>
      <c r="H213" s="567">
        <v>19.059999999999999</v>
      </c>
      <c r="I213" s="567">
        <v>0</v>
      </c>
      <c r="J213" s="567">
        <v>0</v>
      </c>
      <c r="K213" s="52">
        <f t="shared" si="100"/>
        <v>19.799999999999997</v>
      </c>
      <c r="L213" s="55"/>
      <c r="M213" s="50"/>
      <c r="N213" s="51"/>
      <c r="O213" s="941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6"/>
    </row>
    <row r="214" spans="1:57" s="48" customFormat="1" ht="12.75" customHeight="1" x14ac:dyDescent="0.2">
      <c r="A214" s="697" t="s">
        <v>643</v>
      </c>
      <c r="B214" s="705" t="s">
        <v>559</v>
      </c>
      <c r="C214" s="478"/>
      <c r="D214" s="46" t="s">
        <v>198</v>
      </c>
      <c r="E214" s="47">
        <f>E215+E216</f>
        <v>16.25</v>
      </c>
      <c r="F214" s="47">
        <f t="shared" ref="F214:J214" si="107">F215+F216</f>
        <v>1.05</v>
      </c>
      <c r="G214" s="47">
        <f t="shared" si="107"/>
        <v>0</v>
      </c>
      <c r="H214" s="47">
        <f t="shared" si="107"/>
        <v>15.2</v>
      </c>
      <c r="I214" s="47">
        <f t="shared" si="107"/>
        <v>0</v>
      </c>
      <c r="J214" s="47">
        <f t="shared" si="107"/>
        <v>0</v>
      </c>
      <c r="K214" s="52">
        <f t="shared" si="100"/>
        <v>16.25</v>
      </c>
      <c r="L214" s="55"/>
      <c r="M214" s="50"/>
      <c r="N214" s="51"/>
      <c r="O214" s="941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6"/>
    </row>
    <row r="215" spans="1:57" s="48" customFormat="1" ht="12.75" customHeight="1" x14ac:dyDescent="0.2">
      <c r="A215" s="698"/>
      <c r="B215" s="706"/>
      <c r="C215" s="478"/>
      <c r="D215" s="470">
        <v>2026</v>
      </c>
      <c r="E215" s="567">
        <f>F215</f>
        <v>0.25</v>
      </c>
      <c r="F215" s="567">
        <v>0.25</v>
      </c>
      <c r="G215" s="567">
        <v>0</v>
      </c>
      <c r="H215" s="567">
        <v>0</v>
      </c>
      <c r="I215" s="567">
        <v>0</v>
      </c>
      <c r="J215" s="567">
        <v>0</v>
      </c>
      <c r="K215" s="52">
        <f t="shared" si="100"/>
        <v>0.25</v>
      </c>
      <c r="L215" s="55"/>
      <c r="M215" s="50"/>
      <c r="N215" s="51"/>
      <c r="O215" s="941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6"/>
    </row>
    <row r="216" spans="1:57" s="48" customFormat="1" ht="12.75" customHeight="1" x14ac:dyDescent="0.2">
      <c r="A216" s="699"/>
      <c r="B216" s="730"/>
      <c r="C216" s="478"/>
      <c r="D216" s="470">
        <v>2027</v>
      </c>
      <c r="E216" s="567">
        <f t="shared" ref="E216" si="108">F216+G216+H216+I216+J216</f>
        <v>16</v>
      </c>
      <c r="F216" s="567">
        <v>0.8</v>
      </c>
      <c r="G216" s="567">
        <v>0</v>
      </c>
      <c r="H216" s="567">
        <v>15.2</v>
      </c>
      <c r="I216" s="567">
        <v>0</v>
      </c>
      <c r="J216" s="567">
        <v>0</v>
      </c>
      <c r="K216" s="52">
        <f t="shared" si="100"/>
        <v>16</v>
      </c>
      <c r="L216" s="55"/>
      <c r="M216" s="50"/>
      <c r="N216" s="51"/>
      <c r="O216" s="941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6"/>
    </row>
    <row r="217" spans="1:57" s="48" customFormat="1" ht="12.75" customHeight="1" x14ac:dyDescent="0.2">
      <c r="A217" s="697" t="s">
        <v>644</v>
      </c>
      <c r="B217" s="705" t="s">
        <v>560</v>
      </c>
      <c r="C217" s="478"/>
      <c r="D217" s="46" t="s">
        <v>198</v>
      </c>
      <c r="E217" s="47">
        <f>E219+E218</f>
        <v>16.25</v>
      </c>
      <c r="F217" s="47">
        <f t="shared" ref="F217:J217" si="109">F219+F218</f>
        <v>1.05</v>
      </c>
      <c r="G217" s="47">
        <f t="shared" si="109"/>
        <v>0</v>
      </c>
      <c r="H217" s="47">
        <f t="shared" si="109"/>
        <v>15.2</v>
      </c>
      <c r="I217" s="47">
        <f t="shared" si="109"/>
        <v>0</v>
      </c>
      <c r="J217" s="47">
        <f t="shared" si="109"/>
        <v>0</v>
      </c>
      <c r="K217" s="52">
        <f t="shared" si="100"/>
        <v>16.25</v>
      </c>
      <c r="L217" s="55"/>
      <c r="M217" s="50"/>
      <c r="N217" s="51"/>
      <c r="O217" s="941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6"/>
    </row>
    <row r="218" spans="1:57" s="48" customFormat="1" ht="12.75" customHeight="1" x14ac:dyDescent="0.2">
      <c r="A218" s="698"/>
      <c r="B218" s="735"/>
      <c r="C218" s="478"/>
      <c r="D218" s="470">
        <v>2026</v>
      </c>
      <c r="E218" s="567">
        <f>F218</f>
        <v>0.25</v>
      </c>
      <c r="F218" s="567">
        <v>0.25</v>
      </c>
      <c r="G218" s="567">
        <v>0</v>
      </c>
      <c r="H218" s="567">
        <v>0</v>
      </c>
      <c r="I218" s="567">
        <v>0</v>
      </c>
      <c r="J218" s="567">
        <v>0</v>
      </c>
      <c r="K218" s="52">
        <f t="shared" si="100"/>
        <v>0.25</v>
      </c>
      <c r="L218" s="55"/>
      <c r="M218" s="50"/>
      <c r="N218" s="51"/>
      <c r="O218" s="941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6"/>
    </row>
    <row r="219" spans="1:57" s="48" customFormat="1" ht="12.75" customHeight="1" x14ac:dyDescent="0.2">
      <c r="A219" s="699"/>
      <c r="B219" s="770"/>
      <c r="C219" s="478"/>
      <c r="D219" s="470">
        <v>2027</v>
      </c>
      <c r="E219" s="567">
        <f>F219+G219+H219</f>
        <v>16</v>
      </c>
      <c r="F219" s="567">
        <v>0.8</v>
      </c>
      <c r="G219" s="567">
        <v>0</v>
      </c>
      <c r="H219" s="567">
        <v>15.2</v>
      </c>
      <c r="I219" s="567">
        <v>0</v>
      </c>
      <c r="J219" s="567">
        <v>0</v>
      </c>
      <c r="K219" s="52">
        <f t="shared" si="100"/>
        <v>16</v>
      </c>
      <c r="L219" s="55"/>
      <c r="M219" s="50"/>
      <c r="N219" s="51"/>
      <c r="O219" s="941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6"/>
    </row>
    <row r="220" spans="1:57" s="48" customFormat="1" ht="12.75" customHeight="1" x14ac:dyDescent="0.2">
      <c r="A220" s="697" t="s">
        <v>645</v>
      </c>
      <c r="B220" s="705" t="s">
        <v>561</v>
      </c>
      <c r="C220" s="478"/>
      <c r="D220" s="46" t="s">
        <v>198</v>
      </c>
      <c r="E220" s="47">
        <f>E222+E221</f>
        <v>22.5</v>
      </c>
      <c r="F220" s="47">
        <f t="shared" ref="F220:J220" si="110">F222+F221</f>
        <v>1.5049999999999999</v>
      </c>
      <c r="G220" s="47">
        <f t="shared" si="110"/>
        <v>0</v>
      </c>
      <c r="H220" s="47">
        <f t="shared" si="110"/>
        <v>20.995000000000001</v>
      </c>
      <c r="I220" s="47">
        <f t="shared" si="110"/>
        <v>0</v>
      </c>
      <c r="J220" s="47">
        <f t="shared" si="110"/>
        <v>0</v>
      </c>
      <c r="K220" s="52">
        <f t="shared" si="100"/>
        <v>22.5</v>
      </c>
      <c r="L220" s="55"/>
      <c r="M220" s="50"/>
      <c r="N220" s="51"/>
      <c r="O220" s="941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6"/>
    </row>
    <row r="221" spans="1:57" s="48" customFormat="1" ht="12.75" customHeight="1" x14ac:dyDescent="0.2">
      <c r="A221" s="698"/>
      <c r="B221" s="706"/>
      <c r="C221" s="478"/>
      <c r="D221" s="470">
        <v>2026</v>
      </c>
      <c r="E221" s="567">
        <f>F221</f>
        <v>0.4</v>
      </c>
      <c r="F221" s="567">
        <v>0.4</v>
      </c>
      <c r="G221" s="567">
        <v>0</v>
      </c>
      <c r="H221" s="567">
        <v>0</v>
      </c>
      <c r="I221" s="567">
        <v>0</v>
      </c>
      <c r="J221" s="567">
        <v>0</v>
      </c>
      <c r="K221" s="52">
        <f t="shared" si="100"/>
        <v>0.4</v>
      </c>
      <c r="L221" s="55"/>
      <c r="M221" s="50"/>
      <c r="N221" s="51"/>
      <c r="O221" s="941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6"/>
    </row>
    <row r="222" spans="1:57" s="48" customFormat="1" ht="12.75" customHeight="1" x14ac:dyDescent="0.2">
      <c r="A222" s="699"/>
      <c r="B222" s="730"/>
      <c r="C222" s="478"/>
      <c r="D222" s="470">
        <v>2027</v>
      </c>
      <c r="E222" s="567">
        <f t="shared" ref="E222" si="111">F222+G222+H222+I222+J222</f>
        <v>22.1</v>
      </c>
      <c r="F222" s="567">
        <v>1.105</v>
      </c>
      <c r="G222" s="567">
        <v>0</v>
      </c>
      <c r="H222" s="567">
        <v>20.995000000000001</v>
      </c>
      <c r="I222" s="567">
        <v>0</v>
      </c>
      <c r="J222" s="567">
        <v>0</v>
      </c>
      <c r="K222" s="52">
        <f t="shared" si="100"/>
        <v>22.1</v>
      </c>
      <c r="L222" s="55"/>
      <c r="M222" s="50"/>
      <c r="N222" s="51"/>
      <c r="O222" s="941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6"/>
    </row>
    <row r="223" spans="1:57" s="48" customFormat="1" ht="12.75" customHeight="1" x14ac:dyDescent="0.2">
      <c r="A223" s="697" t="s">
        <v>646</v>
      </c>
      <c r="B223" s="705" t="s">
        <v>1077</v>
      </c>
      <c r="C223" s="681" t="s">
        <v>384</v>
      </c>
      <c r="D223" s="46" t="s">
        <v>198</v>
      </c>
      <c r="E223" s="47">
        <f>E224</f>
        <v>2.4718</v>
      </c>
      <c r="F223" s="47">
        <f t="shared" ref="F223:J223" si="112">F224</f>
        <v>2.4718</v>
      </c>
      <c r="G223" s="47">
        <f t="shared" si="112"/>
        <v>0</v>
      </c>
      <c r="H223" s="47">
        <f t="shared" si="112"/>
        <v>0</v>
      </c>
      <c r="I223" s="47">
        <f t="shared" si="112"/>
        <v>0</v>
      </c>
      <c r="J223" s="47">
        <f t="shared" si="112"/>
        <v>0</v>
      </c>
      <c r="K223" s="52">
        <f t="shared" si="100"/>
        <v>2.4718</v>
      </c>
      <c r="L223" s="55"/>
      <c r="M223" s="50"/>
      <c r="N223" s="51"/>
      <c r="O223" s="941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6"/>
    </row>
    <row r="224" spans="1:57" s="48" customFormat="1" ht="12.75" customHeight="1" x14ac:dyDescent="0.2">
      <c r="A224" s="698"/>
      <c r="B224" s="706"/>
      <c r="C224" s="681"/>
      <c r="D224" s="470">
        <v>2019</v>
      </c>
      <c r="E224" s="567">
        <f>F224</f>
        <v>2.4718</v>
      </c>
      <c r="F224" s="567">
        <v>2.4718</v>
      </c>
      <c r="G224" s="567">
        <v>0</v>
      </c>
      <c r="H224" s="567">
        <v>0</v>
      </c>
      <c r="I224" s="567">
        <v>0</v>
      </c>
      <c r="J224" s="567">
        <v>0</v>
      </c>
      <c r="K224" s="52">
        <f t="shared" si="100"/>
        <v>2.4718</v>
      </c>
      <c r="L224" s="55"/>
      <c r="M224" s="50"/>
      <c r="N224" s="51"/>
      <c r="O224" s="941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6"/>
    </row>
    <row r="225" spans="1:57" s="48" customFormat="1" ht="12.75" customHeight="1" x14ac:dyDescent="0.2">
      <c r="A225" s="697" t="s">
        <v>647</v>
      </c>
      <c r="B225" s="705" t="s">
        <v>872</v>
      </c>
      <c r="D225" s="46" t="s">
        <v>198</v>
      </c>
      <c r="E225" s="47">
        <f>E226+E227</f>
        <v>25.124799999999997</v>
      </c>
      <c r="F225" s="47">
        <f t="shared" ref="F225:J225" si="113">F226+F227</f>
        <v>3.5467</v>
      </c>
      <c r="G225" s="47">
        <f t="shared" si="113"/>
        <v>0</v>
      </c>
      <c r="H225" s="47">
        <f t="shared" si="113"/>
        <v>21.578099999999999</v>
      </c>
      <c r="I225" s="47">
        <f t="shared" si="113"/>
        <v>0</v>
      </c>
      <c r="J225" s="47">
        <f t="shared" si="113"/>
        <v>0</v>
      </c>
      <c r="K225" s="52">
        <f t="shared" si="100"/>
        <v>25.1248</v>
      </c>
      <c r="L225" s="55"/>
      <c r="M225" s="50"/>
      <c r="N225" s="51"/>
      <c r="O225" s="941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6"/>
    </row>
    <row r="226" spans="1:57" s="48" customFormat="1" ht="27" customHeight="1" x14ac:dyDescent="0.2">
      <c r="A226" s="698"/>
      <c r="B226" s="706"/>
      <c r="C226" s="478" t="s">
        <v>384</v>
      </c>
      <c r="D226" s="470">
        <v>2019</v>
      </c>
      <c r="E226" s="567">
        <f>F226+G226+H226+I226+J226</f>
        <v>0.32229999999999998</v>
      </c>
      <c r="F226" s="567">
        <v>0.32229999999999998</v>
      </c>
      <c r="G226" s="567">
        <v>0</v>
      </c>
      <c r="H226" s="567">
        <v>0</v>
      </c>
      <c r="I226" s="567">
        <v>0</v>
      </c>
      <c r="J226" s="567">
        <v>0</v>
      </c>
      <c r="K226" s="52">
        <f t="shared" si="100"/>
        <v>0.32229999999999998</v>
      </c>
      <c r="L226" s="55"/>
      <c r="M226" s="50"/>
      <c r="N226" s="51"/>
      <c r="O226" s="941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6"/>
    </row>
    <row r="227" spans="1:57" s="48" customFormat="1" ht="21" customHeight="1" x14ac:dyDescent="0.2">
      <c r="A227" s="496"/>
      <c r="B227" s="503"/>
      <c r="C227" s="472" t="s">
        <v>984</v>
      </c>
      <c r="D227" s="470">
        <v>2020</v>
      </c>
      <c r="E227" s="567">
        <f>F227+G227+H227</f>
        <v>24.802499999999998</v>
      </c>
      <c r="F227" s="567">
        <v>3.2244000000000002</v>
      </c>
      <c r="G227" s="567">
        <v>0</v>
      </c>
      <c r="H227" s="567">
        <v>21.578099999999999</v>
      </c>
      <c r="I227" s="567">
        <v>0</v>
      </c>
      <c r="J227" s="567">
        <v>0</v>
      </c>
      <c r="K227" s="52">
        <f t="shared" si="100"/>
        <v>24.802499999999998</v>
      </c>
      <c r="L227" s="55"/>
      <c r="M227" s="50"/>
      <c r="N227" s="51"/>
      <c r="O227" s="941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6"/>
    </row>
    <row r="228" spans="1:57" s="48" customFormat="1" ht="12.75" customHeight="1" x14ac:dyDescent="0.2">
      <c r="A228" s="697" t="s">
        <v>648</v>
      </c>
      <c r="B228" s="705" t="s">
        <v>766</v>
      </c>
      <c r="C228" s="631" t="s">
        <v>970</v>
      </c>
      <c r="D228" s="46" t="s">
        <v>198</v>
      </c>
      <c r="E228" s="47">
        <f>E229+E230+E231</f>
        <v>83.299970000000002</v>
      </c>
      <c r="F228" s="47">
        <f t="shared" ref="F228:J228" si="114">F229+F230+F231</f>
        <v>11.8714</v>
      </c>
      <c r="G228" s="47">
        <f t="shared" si="114"/>
        <v>0</v>
      </c>
      <c r="H228" s="47">
        <f>H229+H230+H231</f>
        <v>71.428570000000008</v>
      </c>
      <c r="I228" s="47">
        <f t="shared" si="114"/>
        <v>0</v>
      </c>
      <c r="J228" s="47">
        <f t="shared" si="114"/>
        <v>0</v>
      </c>
      <c r="K228" s="52">
        <f t="shared" si="100"/>
        <v>83.299970000000002</v>
      </c>
      <c r="L228" s="55"/>
      <c r="M228" s="50"/>
      <c r="N228" s="51"/>
      <c r="O228" s="941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6"/>
    </row>
    <row r="229" spans="1:57" s="48" customFormat="1" ht="12.75" customHeight="1" x14ac:dyDescent="0.2">
      <c r="A229" s="698"/>
      <c r="B229" s="706"/>
      <c r="C229" s="648"/>
      <c r="D229" s="470">
        <v>2026</v>
      </c>
      <c r="E229" s="567">
        <f>F229+G229+H229+I229+J229</f>
        <v>8.3000000000000007</v>
      </c>
      <c r="F229" s="567">
        <v>8.3000000000000007</v>
      </c>
      <c r="G229" s="567">
        <v>0</v>
      </c>
      <c r="H229" s="567">
        <v>0</v>
      </c>
      <c r="I229" s="567">
        <v>0</v>
      </c>
      <c r="J229" s="567">
        <v>0</v>
      </c>
      <c r="K229" s="52">
        <f t="shared" si="100"/>
        <v>8.3000000000000007</v>
      </c>
      <c r="L229" s="55"/>
      <c r="M229" s="50"/>
      <c r="N229" s="51"/>
      <c r="O229" s="941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6"/>
    </row>
    <row r="230" spans="1:57" s="48" customFormat="1" ht="26.25" customHeight="1" x14ac:dyDescent="0.2">
      <c r="A230" s="698"/>
      <c r="B230" s="706"/>
      <c r="C230" s="648"/>
      <c r="D230" s="470">
        <v>2027</v>
      </c>
      <c r="E230" s="567">
        <f t="shared" ref="E230" si="115">F230+G230+H230+I230+J230</f>
        <v>30.817500000000003</v>
      </c>
      <c r="F230" s="567">
        <v>1.4675</v>
      </c>
      <c r="G230" s="567">
        <v>0</v>
      </c>
      <c r="H230" s="567">
        <v>29.35</v>
      </c>
      <c r="I230" s="567">
        <v>0</v>
      </c>
      <c r="J230" s="567">
        <v>0</v>
      </c>
      <c r="K230" s="52">
        <f t="shared" si="100"/>
        <v>30.817500000000003</v>
      </c>
      <c r="L230" s="812" t="s">
        <v>863</v>
      </c>
      <c r="M230" s="50"/>
      <c r="N230" s="51"/>
      <c r="O230" s="941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6"/>
    </row>
    <row r="231" spans="1:57" s="48" customFormat="1" ht="48.75" customHeight="1" x14ac:dyDescent="0.2">
      <c r="A231" s="699"/>
      <c r="B231" s="730"/>
      <c r="C231" s="632"/>
      <c r="D231" s="470">
        <v>2028</v>
      </c>
      <c r="E231" s="567">
        <f>F231+G231+H231+I231+J231</f>
        <v>44.182470000000002</v>
      </c>
      <c r="F231" s="567">
        <v>2.1038999999999999</v>
      </c>
      <c r="G231" s="567">
        <v>0</v>
      </c>
      <c r="H231" s="567">
        <v>42.078569999999999</v>
      </c>
      <c r="I231" s="567">
        <v>0</v>
      </c>
      <c r="J231" s="567">
        <v>0</v>
      </c>
      <c r="K231" s="52">
        <f t="shared" si="100"/>
        <v>44.182470000000002</v>
      </c>
      <c r="L231" s="813"/>
      <c r="M231" s="50"/>
      <c r="N231" s="51"/>
      <c r="O231" s="941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6"/>
    </row>
    <row r="232" spans="1:57" s="48" customFormat="1" ht="12.75" customHeight="1" x14ac:dyDescent="0.2">
      <c r="A232" s="697" t="s">
        <v>649</v>
      </c>
      <c r="B232" s="705" t="s">
        <v>507</v>
      </c>
      <c r="C232" s="638" t="s">
        <v>983</v>
      </c>
      <c r="D232" s="46" t="s">
        <v>198</v>
      </c>
      <c r="E232" s="47">
        <f>E233+E234</f>
        <v>527.01459999999997</v>
      </c>
      <c r="F232" s="47">
        <f t="shared" ref="F232:J232" si="116">F233+F234</f>
        <v>29.675199999999997</v>
      </c>
      <c r="G232" s="47">
        <f t="shared" si="116"/>
        <v>0</v>
      </c>
      <c r="H232" s="47">
        <f>H233+H234</f>
        <v>497.33940000000001</v>
      </c>
      <c r="I232" s="47">
        <f t="shared" si="116"/>
        <v>0</v>
      </c>
      <c r="J232" s="47">
        <f t="shared" si="116"/>
        <v>0</v>
      </c>
      <c r="K232" s="52">
        <f t="shared" si="100"/>
        <v>527.01459999999997</v>
      </c>
      <c r="L232" s="806" t="s">
        <v>179</v>
      </c>
      <c r="M232" s="50"/>
      <c r="N232" s="51">
        <v>50</v>
      </c>
      <c r="O232" s="941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6"/>
    </row>
    <row r="233" spans="1:57" s="48" customFormat="1" ht="97.5" customHeight="1" x14ac:dyDescent="0.2">
      <c r="A233" s="717"/>
      <c r="B233" s="735"/>
      <c r="C233" s="640"/>
      <c r="D233" s="470">
        <v>2019</v>
      </c>
      <c r="E233" s="567">
        <f>F233+G233+H233+I233+J233</f>
        <v>189.26400000000001</v>
      </c>
      <c r="F233" s="567">
        <v>12.787599999999999</v>
      </c>
      <c r="G233" s="567">
        <v>0</v>
      </c>
      <c r="H233" s="567">
        <v>176.47640000000001</v>
      </c>
      <c r="I233" s="567">
        <v>0</v>
      </c>
      <c r="J233" s="567">
        <v>0</v>
      </c>
      <c r="K233" s="52">
        <f t="shared" si="100"/>
        <v>189.26400000000001</v>
      </c>
      <c r="L233" s="636"/>
      <c r="M233" s="578"/>
      <c r="N233" s="568"/>
      <c r="O233" s="941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6"/>
    </row>
    <row r="234" spans="1:57" s="48" customFormat="1" ht="22.5" customHeight="1" x14ac:dyDescent="0.2">
      <c r="A234" s="734"/>
      <c r="B234" s="770"/>
      <c r="C234" s="477" t="s">
        <v>984</v>
      </c>
      <c r="D234" s="470">
        <v>2020</v>
      </c>
      <c r="E234" s="567">
        <f t="shared" ref="E234" si="117">F234+G234+H234+I234+J234</f>
        <v>337.75060000000002</v>
      </c>
      <c r="F234" s="567">
        <v>16.887599999999999</v>
      </c>
      <c r="G234" s="567">
        <v>0</v>
      </c>
      <c r="H234" s="567">
        <v>320.863</v>
      </c>
      <c r="I234" s="567">
        <v>0</v>
      </c>
      <c r="J234" s="567">
        <v>0</v>
      </c>
      <c r="K234" s="52">
        <f t="shared" si="100"/>
        <v>337.75060000000002</v>
      </c>
      <c r="L234" s="637"/>
      <c r="M234" s="50"/>
      <c r="N234" s="51"/>
      <c r="O234" s="941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6"/>
    </row>
    <row r="235" spans="1:57" s="48" customFormat="1" ht="22.5" customHeight="1" x14ac:dyDescent="0.2">
      <c r="A235" s="697" t="s">
        <v>1085</v>
      </c>
      <c r="B235" s="631" t="s">
        <v>875</v>
      </c>
      <c r="C235" s="631" t="s">
        <v>384</v>
      </c>
      <c r="D235" s="46" t="s">
        <v>198</v>
      </c>
      <c r="E235" s="47">
        <f>E236</f>
        <v>4.3884999999999996</v>
      </c>
      <c r="F235" s="47">
        <f t="shared" ref="F235:J235" si="118">F236</f>
        <v>4.3884999999999996</v>
      </c>
      <c r="G235" s="47">
        <f t="shared" si="118"/>
        <v>0</v>
      </c>
      <c r="H235" s="47">
        <f t="shared" si="118"/>
        <v>0</v>
      </c>
      <c r="I235" s="47">
        <f t="shared" si="118"/>
        <v>0</v>
      </c>
      <c r="J235" s="47">
        <f t="shared" si="118"/>
        <v>0</v>
      </c>
      <c r="K235" s="52">
        <f t="shared" si="100"/>
        <v>4.3884999999999996</v>
      </c>
      <c r="L235" s="222"/>
      <c r="M235" s="50"/>
      <c r="N235" s="51"/>
      <c r="O235" s="941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6"/>
    </row>
    <row r="236" spans="1:57" s="48" customFormat="1" ht="15.75" customHeight="1" x14ac:dyDescent="0.2">
      <c r="A236" s="699"/>
      <c r="B236" s="648"/>
      <c r="C236" s="648"/>
      <c r="D236" s="470">
        <v>2019</v>
      </c>
      <c r="E236" s="567">
        <f>F236+G236+H236+I236+J236</f>
        <v>4.3884999999999996</v>
      </c>
      <c r="F236" s="567">
        <v>4.3884999999999996</v>
      </c>
      <c r="G236" s="567">
        <v>0</v>
      </c>
      <c r="H236" s="567">
        <v>0</v>
      </c>
      <c r="I236" s="567">
        <v>0</v>
      </c>
      <c r="J236" s="567">
        <v>0</v>
      </c>
      <c r="K236" s="52">
        <f t="shared" si="100"/>
        <v>4.3884999999999996</v>
      </c>
      <c r="L236" s="222"/>
      <c r="M236" s="50"/>
      <c r="N236" s="51"/>
      <c r="O236" s="941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6"/>
    </row>
    <row r="237" spans="1:57" s="48" customFormat="1" x14ac:dyDescent="0.2">
      <c r="A237" s="697" t="s">
        <v>1086</v>
      </c>
      <c r="B237" s="631" t="s">
        <v>876</v>
      </c>
      <c r="C237" s="631" t="s">
        <v>984</v>
      </c>
      <c r="D237" s="46" t="s">
        <v>198</v>
      </c>
      <c r="E237" s="47">
        <f>E238</f>
        <v>0.25580000000000003</v>
      </c>
      <c r="F237" s="47">
        <f t="shared" ref="F237:J237" si="119">F238</f>
        <v>0.25580000000000003</v>
      </c>
      <c r="G237" s="47">
        <f t="shared" si="119"/>
        <v>0</v>
      </c>
      <c r="H237" s="47">
        <f t="shared" si="119"/>
        <v>0</v>
      </c>
      <c r="I237" s="47">
        <f t="shared" si="119"/>
        <v>0</v>
      </c>
      <c r="J237" s="47">
        <f t="shared" si="119"/>
        <v>0</v>
      </c>
      <c r="K237" s="52">
        <f t="shared" si="100"/>
        <v>0.25580000000000003</v>
      </c>
      <c r="L237" s="222"/>
      <c r="M237" s="50"/>
      <c r="N237" s="51"/>
      <c r="O237" s="941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6"/>
    </row>
    <row r="238" spans="1:57" s="48" customFormat="1" x14ac:dyDescent="0.2">
      <c r="A238" s="699"/>
      <c r="B238" s="648"/>
      <c r="C238" s="648"/>
      <c r="D238" s="470">
        <v>2019</v>
      </c>
      <c r="E238" s="567">
        <f>F238+G238+H238+I238+J238</f>
        <v>0.25580000000000003</v>
      </c>
      <c r="F238" s="567">
        <v>0.25580000000000003</v>
      </c>
      <c r="G238" s="567">
        <v>0</v>
      </c>
      <c r="H238" s="567">
        <v>0</v>
      </c>
      <c r="I238" s="567">
        <v>0</v>
      </c>
      <c r="J238" s="567">
        <v>0</v>
      </c>
      <c r="K238" s="52">
        <f t="shared" si="100"/>
        <v>0.25580000000000003</v>
      </c>
      <c r="L238" s="222"/>
      <c r="M238" s="50"/>
      <c r="N238" s="51"/>
      <c r="O238" s="941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6"/>
    </row>
    <row r="239" spans="1:57" s="48" customFormat="1" x14ac:dyDescent="0.2">
      <c r="A239" s="703" t="s">
        <v>1087</v>
      </c>
      <c r="B239" s="705" t="s">
        <v>877</v>
      </c>
      <c r="C239" s="705" t="s">
        <v>984</v>
      </c>
      <c r="D239" s="46" t="s">
        <v>198</v>
      </c>
      <c r="E239" s="47">
        <f>E240</f>
        <v>2.5539000000000001</v>
      </c>
      <c r="F239" s="47">
        <f t="shared" ref="F239:J239" si="120">F240</f>
        <v>2.5539000000000001</v>
      </c>
      <c r="G239" s="47">
        <f t="shared" si="120"/>
        <v>0</v>
      </c>
      <c r="H239" s="47">
        <f t="shared" si="120"/>
        <v>0</v>
      </c>
      <c r="I239" s="47">
        <f t="shared" si="120"/>
        <v>0</v>
      </c>
      <c r="J239" s="47">
        <f t="shared" si="120"/>
        <v>0</v>
      </c>
      <c r="K239" s="52">
        <f t="shared" si="100"/>
        <v>2.5539000000000001</v>
      </c>
      <c r="L239" s="222"/>
      <c r="M239" s="50"/>
      <c r="N239" s="51"/>
      <c r="O239" s="941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6"/>
    </row>
    <row r="240" spans="1:57" s="48" customFormat="1" x14ac:dyDescent="0.2">
      <c r="A240" s="871"/>
      <c r="B240" s="730"/>
      <c r="C240" s="730"/>
      <c r="D240" s="470">
        <v>2019</v>
      </c>
      <c r="E240" s="567">
        <f>F240+G240+H240+I240+J240</f>
        <v>2.5539000000000001</v>
      </c>
      <c r="F240" s="567">
        <v>2.5539000000000001</v>
      </c>
      <c r="G240" s="567">
        <v>0</v>
      </c>
      <c r="H240" s="567">
        <v>0</v>
      </c>
      <c r="I240" s="567">
        <v>0</v>
      </c>
      <c r="J240" s="567">
        <v>0</v>
      </c>
      <c r="K240" s="52">
        <f t="shared" si="100"/>
        <v>2.5539000000000001</v>
      </c>
      <c r="L240" s="222"/>
      <c r="M240" s="50"/>
      <c r="N240" s="51"/>
      <c r="O240" s="941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6"/>
    </row>
    <row r="241" spans="1:57" s="48" customFormat="1" x14ac:dyDescent="0.2">
      <c r="A241" s="697" t="s">
        <v>1088</v>
      </c>
      <c r="B241" s="705" t="s">
        <v>879</v>
      </c>
      <c r="C241" s="705" t="s">
        <v>984</v>
      </c>
      <c r="D241" s="46" t="s">
        <v>198</v>
      </c>
      <c r="E241" s="47">
        <f>E242</f>
        <v>1.1483000000000001</v>
      </c>
      <c r="F241" s="47">
        <f t="shared" ref="F241:J241" si="121">F242</f>
        <v>1.1483000000000001</v>
      </c>
      <c r="G241" s="47">
        <f t="shared" si="121"/>
        <v>0</v>
      </c>
      <c r="H241" s="47">
        <f t="shared" si="121"/>
        <v>0</v>
      </c>
      <c r="I241" s="47">
        <f t="shared" si="121"/>
        <v>0</v>
      </c>
      <c r="J241" s="47">
        <f t="shared" si="121"/>
        <v>0</v>
      </c>
      <c r="K241" s="52">
        <f t="shared" si="100"/>
        <v>1.1483000000000001</v>
      </c>
      <c r="L241" s="222"/>
      <c r="M241" s="50"/>
      <c r="N241" s="51"/>
      <c r="O241" s="941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6"/>
    </row>
    <row r="242" spans="1:57" s="48" customFormat="1" x14ac:dyDescent="0.2">
      <c r="A242" s="699"/>
      <c r="B242" s="730"/>
      <c r="C242" s="730"/>
      <c r="D242" s="470">
        <v>2019</v>
      </c>
      <c r="E242" s="567">
        <f>F242+G242+H242+I242+J242</f>
        <v>1.1483000000000001</v>
      </c>
      <c r="F242" s="567">
        <v>1.1483000000000001</v>
      </c>
      <c r="G242" s="567">
        <v>0</v>
      </c>
      <c r="H242" s="567">
        <v>0</v>
      </c>
      <c r="I242" s="567">
        <v>0</v>
      </c>
      <c r="J242" s="567">
        <v>0</v>
      </c>
      <c r="K242" s="52">
        <f t="shared" si="100"/>
        <v>1.1483000000000001</v>
      </c>
      <c r="L242" s="222"/>
      <c r="M242" s="50"/>
      <c r="N242" s="51"/>
      <c r="O242" s="941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6"/>
    </row>
    <row r="243" spans="1:57" s="48" customFormat="1" x14ac:dyDescent="0.2">
      <c r="A243" s="697" t="s">
        <v>1089</v>
      </c>
      <c r="B243" s="705" t="s">
        <v>880</v>
      </c>
      <c r="C243" s="705" t="s">
        <v>984</v>
      </c>
      <c r="D243" s="46" t="s">
        <v>513</v>
      </c>
      <c r="E243" s="567">
        <f>E244</f>
        <v>2.3197000000000001</v>
      </c>
      <c r="F243" s="567">
        <f t="shared" ref="F243:J243" si="122">F244</f>
        <v>2.3197000000000001</v>
      </c>
      <c r="G243" s="567">
        <f t="shared" si="122"/>
        <v>0</v>
      </c>
      <c r="H243" s="567">
        <f t="shared" si="122"/>
        <v>0</v>
      </c>
      <c r="I243" s="567">
        <f t="shared" si="122"/>
        <v>0</v>
      </c>
      <c r="J243" s="567">
        <f t="shared" si="122"/>
        <v>0</v>
      </c>
      <c r="K243" s="52">
        <f t="shared" si="100"/>
        <v>2.3197000000000001</v>
      </c>
      <c r="L243" s="222"/>
      <c r="M243" s="50"/>
      <c r="N243" s="51"/>
      <c r="O243" s="549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6"/>
    </row>
    <row r="244" spans="1:57" s="48" customFormat="1" x14ac:dyDescent="0.2">
      <c r="A244" s="699"/>
      <c r="B244" s="730"/>
      <c r="C244" s="730"/>
      <c r="D244" s="470">
        <v>2019</v>
      </c>
      <c r="E244" s="567">
        <f>F244</f>
        <v>2.3197000000000001</v>
      </c>
      <c r="F244" s="567">
        <v>2.3197000000000001</v>
      </c>
      <c r="G244" s="567">
        <v>0</v>
      </c>
      <c r="H244" s="567">
        <v>0</v>
      </c>
      <c r="I244" s="567">
        <v>0</v>
      </c>
      <c r="J244" s="567">
        <v>0</v>
      </c>
      <c r="K244" s="52">
        <f t="shared" si="100"/>
        <v>2.3197000000000001</v>
      </c>
      <c r="L244" s="222"/>
      <c r="M244" s="50"/>
      <c r="N244" s="51"/>
      <c r="O244" s="549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6"/>
    </row>
    <row r="245" spans="1:57" s="48" customFormat="1" x14ac:dyDescent="0.2">
      <c r="A245" s="697" t="s">
        <v>1090</v>
      </c>
      <c r="B245" s="705" t="s">
        <v>1114</v>
      </c>
      <c r="C245" s="705" t="s">
        <v>984</v>
      </c>
      <c r="D245" s="46" t="s">
        <v>513</v>
      </c>
      <c r="E245" s="567">
        <f>E246</f>
        <v>2.0299</v>
      </c>
      <c r="F245" s="567">
        <f t="shared" ref="F245:J245" si="123">F246</f>
        <v>2.0299</v>
      </c>
      <c r="G245" s="567">
        <f t="shared" si="123"/>
        <v>0</v>
      </c>
      <c r="H245" s="567">
        <f t="shared" si="123"/>
        <v>0</v>
      </c>
      <c r="I245" s="567">
        <f t="shared" si="123"/>
        <v>0</v>
      </c>
      <c r="J245" s="567">
        <f t="shared" si="123"/>
        <v>0</v>
      </c>
      <c r="K245" s="52">
        <f t="shared" si="100"/>
        <v>2.0299</v>
      </c>
      <c r="L245" s="222"/>
      <c r="M245" s="50"/>
      <c r="N245" s="51"/>
      <c r="O245" s="549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6"/>
    </row>
    <row r="246" spans="1:57" s="48" customFormat="1" x14ac:dyDescent="0.2">
      <c r="A246" s="699"/>
      <c r="B246" s="730"/>
      <c r="C246" s="730"/>
      <c r="D246" s="470">
        <v>2019</v>
      </c>
      <c r="E246" s="567">
        <f>F246</f>
        <v>2.0299</v>
      </c>
      <c r="F246" s="567">
        <v>2.0299</v>
      </c>
      <c r="G246" s="567">
        <v>0</v>
      </c>
      <c r="H246" s="567">
        <v>0</v>
      </c>
      <c r="I246" s="567">
        <v>0</v>
      </c>
      <c r="J246" s="567">
        <v>0</v>
      </c>
      <c r="K246" s="52">
        <f t="shared" si="100"/>
        <v>2.0299</v>
      </c>
      <c r="L246" s="222"/>
      <c r="M246" s="50"/>
      <c r="N246" s="51"/>
      <c r="O246" s="549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6"/>
    </row>
    <row r="247" spans="1:57" s="48" customFormat="1" x14ac:dyDescent="0.2">
      <c r="A247" s="697" t="s">
        <v>1091</v>
      </c>
      <c r="B247" s="705" t="s">
        <v>1122</v>
      </c>
      <c r="C247" s="503" t="s">
        <v>984</v>
      </c>
      <c r="D247" s="46" t="s">
        <v>198</v>
      </c>
      <c r="E247" s="47">
        <f>E248</f>
        <v>2.0417000000000001</v>
      </c>
      <c r="F247" s="47">
        <f t="shared" ref="F247:J247" si="124">F248</f>
        <v>2.0417000000000001</v>
      </c>
      <c r="G247" s="47">
        <f t="shared" si="124"/>
        <v>0</v>
      </c>
      <c r="H247" s="47">
        <f t="shared" si="124"/>
        <v>0</v>
      </c>
      <c r="I247" s="47">
        <f t="shared" si="124"/>
        <v>0</v>
      </c>
      <c r="J247" s="47">
        <f t="shared" si="124"/>
        <v>0</v>
      </c>
      <c r="K247" s="52"/>
      <c r="L247" s="222"/>
      <c r="M247" s="50"/>
      <c r="N247" s="51"/>
      <c r="O247" s="549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6"/>
    </row>
    <row r="248" spans="1:57" s="48" customFormat="1" x14ac:dyDescent="0.2">
      <c r="A248" s="699"/>
      <c r="B248" s="730"/>
      <c r="C248" s="503"/>
      <c r="D248" s="470">
        <v>2019</v>
      </c>
      <c r="E248" s="567">
        <f>F248</f>
        <v>2.0417000000000001</v>
      </c>
      <c r="F248" s="567">
        <v>2.0417000000000001</v>
      </c>
      <c r="G248" s="567">
        <v>0</v>
      </c>
      <c r="H248" s="567">
        <v>0</v>
      </c>
      <c r="I248" s="567">
        <v>0</v>
      </c>
      <c r="J248" s="567">
        <v>0</v>
      </c>
      <c r="K248" s="52"/>
      <c r="L248" s="222"/>
      <c r="M248" s="50"/>
      <c r="N248" s="51"/>
      <c r="O248" s="549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6"/>
    </row>
    <row r="249" spans="1:57" s="48" customFormat="1" ht="1.5" customHeight="1" x14ac:dyDescent="0.2">
      <c r="A249" s="697" t="s">
        <v>1092</v>
      </c>
      <c r="B249" s="705" t="s">
        <v>1115</v>
      </c>
      <c r="C249" s="705" t="s">
        <v>984</v>
      </c>
      <c r="D249" s="46" t="s">
        <v>513</v>
      </c>
      <c r="E249" s="567">
        <f>E250</f>
        <v>3.1196999999999999</v>
      </c>
      <c r="F249" s="567">
        <f t="shared" ref="F249:J249" si="125">F250</f>
        <v>3.1196999999999999</v>
      </c>
      <c r="G249" s="567">
        <f t="shared" si="125"/>
        <v>0</v>
      </c>
      <c r="H249" s="567">
        <f t="shared" si="125"/>
        <v>0</v>
      </c>
      <c r="I249" s="567">
        <f t="shared" si="125"/>
        <v>0</v>
      </c>
      <c r="J249" s="567">
        <f t="shared" si="125"/>
        <v>0</v>
      </c>
      <c r="K249" s="52">
        <f t="shared" si="100"/>
        <v>3.1196999999999999</v>
      </c>
      <c r="L249" s="222"/>
      <c r="M249" s="50"/>
      <c r="N249" s="51"/>
      <c r="O249" s="549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6"/>
    </row>
    <row r="250" spans="1:57" s="48" customFormat="1" ht="27.75" customHeight="1" x14ac:dyDescent="0.2">
      <c r="A250" s="699"/>
      <c r="B250" s="730"/>
      <c r="C250" s="730"/>
      <c r="D250" s="470">
        <v>2019</v>
      </c>
      <c r="E250" s="567">
        <f>F250</f>
        <v>3.1196999999999999</v>
      </c>
      <c r="F250" s="567">
        <v>3.1196999999999999</v>
      </c>
      <c r="G250" s="567">
        <v>0</v>
      </c>
      <c r="H250" s="567">
        <v>0</v>
      </c>
      <c r="I250" s="567">
        <v>0</v>
      </c>
      <c r="J250" s="567">
        <v>0</v>
      </c>
      <c r="K250" s="52">
        <f t="shared" si="100"/>
        <v>3.1196999999999999</v>
      </c>
      <c r="L250" s="222"/>
      <c r="M250" s="50"/>
      <c r="N250" s="51"/>
      <c r="O250" s="549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6"/>
    </row>
    <row r="251" spans="1:57" s="48" customFormat="1" x14ac:dyDescent="0.2">
      <c r="A251" s="697" t="s">
        <v>1093</v>
      </c>
      <c r="B251" s="705" t="s">
        <v>878</v>
      </c>
      <c r="C251" s="705" t="s">
        <v>984</v>
      </c>
      <c r="D251" s="46" t="s">
        <v>513</v>
      </c>
      <c r="E251" s="567">
        <f>E252</f>
        <v>0.1774</v>
      </c>
      <c r="F251" s="567">
        <f t="shared" ref="F251:J251" si="126">F252</f>
        <v>0.1774</v>
      </c>
      <c r="G251" s="567">
        <f t="shared" si="126"/>
        <v>0</v>
      </c>
      <c r="H251" s="567">
        <f t="shared" si="126"/>
        <v>0</v>
      </c>
      <c r="I251" s="567">
        <f t="shared" si="126"/>
        <v>0</v>
      </c>
      <c r="J251" s="567">
        <f t="shared" si="126"/>
        <v>0</v>
      </c>
      <c r="K251" s="52">
        <f t="shared" si="100"/>
        <v>0.1774</v>
      </c>
      <c r="L251" s="222"/>
      <c r="M251" s="50"/>
      <c r="N251" s="51"/>
      <c r="O251" s="549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6"/>
    </row>
    <row r="252" spans="1:57" s="48" customFormat="1" x14ac:dyDescent="0.2">
      <c r="A252" s="699"/>
      <c r="B252" s="730"/>
      <c r="C252" s="730"/>
      <c r="D252" s="470">
        <v>2019</v>
      </c>
      <c r="E252" s="567">
        <f>F252</f>
        <v>0.1774</v>
      </c>
      <c r="F252" s="567">
        <v>0.1774</v>
      </c>
      <c r="G252" s="567">
        <v>0</v>
      </c>
      <c r="H252" s="567">
        <v>0</v>
      </c>
      <c r="I252" s="567">
        <v>0</v>
      </c>
      <c r="J252" s="567">
        <v>0</v>
      </c>
      <c r="K252" s="52">
        <f t="shared" si="100"/>
        <v>0.1774</v>
      </c>
      <c r="L252" s="222"/>
      <c r="M252" s="50"/>
      <c r="N252" s="51"/>
      <c r="O252" s="549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6"/>
    </row>
    <row r="253" spans="1:57" s="48" customFormat="1" ht="25.5" x14ac:dyDescent="0.2">
      <c r="A253" s="496" t="s">
        <v>1117</v>
      </c>
      <c r="B253" s="503" t="s">
        <v>1116</v>
      </c>
      <c r="C253" s="705" t="s">
        <v>984</v>
      </c>
      <c r="D253" s="46" t="s">
        <v>513</v>
      </c>
      <c r="E253" s="567">
        <f>E254</f>
        <v>0.47360000000000002</v>
      </c>
      <c r="F253" s="567">
        <f t="shared" ref="F253:J253" si="127">F254</f>
        <v>0.47360000000000002</v>
      </c>
      <c r="G253" s="567">
        <f t="shared" si="127"/>
        <v>0</v>
      </c>
      <c r="H253" s="567">
        <f t="shared" si="127"/>
        <v>0</v>
      </c>
      <c r="I253" s="567">
        <f t="shared" si="127"/>
        <v>0</v>
      </c>
      <c r="J253" s="567">
        <f t="shared" si="127"/>
        <v>0</v>
      </c>
      <c r="K253" s="52">
        <f t="shared" si="100"/>
        <v>0.47360000000000002</v>
      </c>
      <c r="L253" s="222"/>
      <c r="M253" s="50"/>
      <c r="N253" s="51"/>
      <c r="O253" s="549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6"/>
    </row>
    <row r="254" spans="1:57" s="48" customFormat="1" x14ac:dyDescent="0.2">
      <c r="A254" s="496"/>
      <c r="B254" s="503"/>
      <c r="C254" s="730"/>
      <c r="D254" s="470">
        <v>2019</v>
      </c>
      <c r="E254" s="567">
        <f>F254</f>
        <v>0.47360000000000002</v>
      </c>
      <c r="F254" s="567">
        <v>0.47360000000000002</v>
      </c>
      <c r="G254" s="567">
        <v>0</v>
      </c>
      <c r="H254" s="567">
        <v>0</v>
      </c>
      <c r="I254" s="567">
        <v>0</v>
      </c>
      <c r="J254" s="567">
        <v>0</v>
      </c>
      <c r="K254" s="52">
        <f t="shared" si="100"/>
        <v>0.47360000000000002</v>
      </c>
      <c r="L254" s="222"/>
      <c r="M254" s="50"/>
      <c r="N254" s="51"/>
      <c r="O254" s="549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6"/>
    </row>
    <row r="255" spans="1:57" s="48" customFormat="1" ht="24.75" customHeight="1" x14ac:dyDescent="0.2">
      <c r="A255" s="697" t="s">
        <v>1118</v>
      </c>
      <c r="B255" s="728" t="s">
        <v>980</v>
      </c>
      <c r="C255" s="638" t="s">
        <v>970</v>
      </c>
      <c r="D255" s="46" t="s">
        <v>198</v>
      </c>
      <c r="E255" s="47">
        <f>E256</f>
        <v>130</v>
      </c>
      <c r="F255" s="47">
        <f t="shared" ref="F255:I255" si="128">F256</f>
        <v>41.94</v>
      </c>
      <c r="G255" s="47">
        <f t="shared" si="128"/>
        <v>0</v>
      </c>
      <c r="H255" s="47">
        <f>H256</f>
        <v>88.06</v>
      </c>
      <c r="I255" s="47">
        <f t="shared" si="128"/>
        <v>0</v>
      </c>
      <c r="J255" s="567">
        <v>0</v>
      </c>
      <c r="K255" s="52">
        <f t="shared" si="100"/>
        <v>130</v>
      </c>
      <c r="L255" s="222"/>
      <c r="M255" s="50"/>
      <c r="N255" s="51"/>
      <c r="O255" s="549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6"/>
    </row>
    <row r="256" spans="1:57" s="48" customFormat="1" ht="32.25" customHeight="1" x14ac:dyDescent="0.2">
      <c r="A256" s="698"/>
      <c r="B256" s="742"/>
      <c r="C256" s="640"/>
      <c r="D256" s="470">
        <v>2026</v>
      </c>
      <c r="E256" s="567">
        <f t="shared" ref="E256:E267" si="129">F256+G256+H256+I256+J256</f>
        <v>130</v>
      </c>
      <c r="F256" s="567">
        <v>41.94</v>
      </c>
      <c r="G256" s="567">
        <v>0</v>
      </c>
      <c r="H256" s="567">
        <v>88.06</v>
      </c>
      <c r="I256" s="567">
        <v>0</v>
      </c>
      <c r="J256" s="567">
        <v>0</v>
      </c>
      <c r="K256" s="52">
        <f t="shared" si="100"/>
        <v>130</v>
      </c>
      <c r="L256" s="222"/>
      <c r="M256" s="50"/>
      <c r="N256" s="51"/>
      <c r="O256" s="549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6"/>
    </row>
    <row r="257" spans="1:57" s="48" customFormat="1" ht="24" customHeight="1" x14ac:dyDescent="0.2">
      <c r="A257" s="665" t="s">
        <v>982</v>
      </c>
      <c r="B257" s="728" t="s">
        <v>981</v>
      </c>
      <c r="C257" s="477" t="s">
        <v>984</v>
      </c>
      <c r="D257" s="46" t="s">
        <v>198</v>
      </c>
      <c r="E257" s="47">
        <f>E258</f>
        <v>11</v>
      </c>
      <c r="F257" s="47">
        <f t="shared" ref="F257:I257" si="130">F258</f>
        <v>11</v>
      </c>
      <c r="G257" s="47">
        <f t="shared" si="130"/>
        <v>0</v>
      </c>
      <c r="H257" s="47">
        <f t="shared" si="130"/>
        <v>0</v>
      </c>
      <c r="I257" s="47">
        <f t="shared" si="130"/>
        <v>0</v>
      </c>
      <c r="J257" s="567">
        <v>0</v>
      </c>
      <c r="K257" s="52">
        <f t="shared" si="100"/>
        <v>11</v>
      </c>
      <c r="L257" s="222"/>
      <c r="M257" s="50"/>
      <c r="N257" s="51"/>
      <c r="O257" s="549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6"/>
    </row>
    <row r="258" spans="1:57" s="48" customFormat="1" ht="41.25" customHeight="1" x14ac:dyDescent="0.2">
      <c r="A258" s="665"/>
      <c r="B258" s="742"/>
      <c r="C258" s="472" t="s">
        <v>970</v>
      </c>
      <c r="D258" s="470">
        <v>2026</v>
      </c>
      <c r="E258" s="567">
        <f t="shared" si="129"/>
        <v>11</v>
      </c>
      <c r="F258" s="567">
        <v>11</v>
      </c>
      <c r="G258" s="567">
        <v>0</v>
      </c>
      <c r="H258" s="567">
        <v>0</v>
      </c>
      <c r="I258" s="567">
        <v>0</v>
      </c>
      <c r="J258" s="567">
        <v>0</v>
      </c>
      <c r="K258" s="52">
        <f t="shared" si="100"/>
        <v>11</v>
      </c>
      <c r="L258" s="222"/>
      <c r="M258" s="50"/>
      <c r="N258" s="51"/>
      <c r="O258" s="549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6"/>
    </row>
    <row r="259" spans="1:57" s="48" customFormat="1" x14ac:dyDescent="0.2">
      <c r="A259" s="697" t="s">
        <v>1119</v>
      </c>
      <c r="B259" s="727" t="s">
        <v>1078</v>
      </c>
      <c r="C259" s="728" t="s">
        <v>984</v>
      </c>
      <c r="D259" s="46" t="s">
        <v>198</v>
      </c>
      <c r="E259" s="567">
        <f>E260</f>
        <v>6.4947999999999997</v>
      </c>
      <c r="F259" s="567">
        <f t="shared" ref="F259:J259" si="131">F260</f>
        <v>0.84430000000000005</v>
      </c>
      <c r="G259" s="567">
        <f t="shared" si="131"/>
        <v>0</v>
      </c>
      <c r="H259" s="567">
        <f t="shared" si="131"/>
        <v>5.6505000000000001</v>
      </c>
      <c r="I259" s="567">
        <f t="shared" si="131"/>
        <v>0</v>
      </c>
      <c r="J259" s="567">
        <f t="shared" si="131"/>
        <v>0</v>
      </c>
      <c r="K259" s="52">
        <f t="shared" si="100"/>
        <v>6.4947999999999997</v>
      </c>
      <c r="L259" s="222"/>
      <c r="M259" s="50"/>
      <c r="N259" s="51"/>
      <c r="O259" s="549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6"/>
    </row>
    <row r="260" spans="1:57" s="48" customFormat="1" ht="15.75" customHeight="1" x14ac:dyDescent="0.2">
      <c r="A260" s="699"/>
      <c r="B260" s="727"/>
      <c r="C260" s="742"/>
      <c r="D260" s="470">
        <v>2020</v>
      </c>
      <c r="E260" s="567">
        <f t="shared" si="129"/>
        <v>6.4947999999999997</v>
      </c>
      <c r="F260" s="567">
        <v>0.84430000000000005</v>
      </c>
      <c r="G260" s="567">
        <v>0</v>
      </c>
      <c r="H260" s="567">
        <v>5.6505000000000001</v>
      </c>
      <c r="I260" s="567">
        <v>0</v>
      </c>
      <c r="J260" s="567">
        <v>0</v>
      </c>
      <c r="K260" s="52">
        <f t="shared" si="100"/>
        <v>6.4947999999999997</v>
      </c>
      <c r="L260" s="222"/>
      <c r="M260" s="50"/>
      <c r="N260" s="51"/>
      <c r="O260" s="549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6"/>
    </row>
    <row r="261" spans="1:57" s="48" customFormat="1" x14ac:dyDescent="0.2">
      <c r="A261" s="665" t="s">
        <v>1120</v>
      </c>
      <c r="B261" s="513"/>
      <c r="C261" s="728" t="s">
        <v>984</v>
      </c>
      <c r="D261" s="46" t="s">
        <v>198</v>
      </c>
      <c r="E261" s="567">
        <f>E262+E263</f>
        <v>0.78</v>
      </c>
      <c r="F261" s="567">
        <f t="shared" ref="F261:I261" si="132">F262+F263</f>
        <v>0.10150000000000001</v>
      </c>
      <c r="G261" s="567">
        <f t="shared" si="132"/>
        <v>0.67849999999999999</v>
      </c>
      <c r="H261" s="567">
        <f t="shared" si="132"/>
        <v>0</v>
      </c>
      <c r="I261" s="567">
        <f t="shared" si="132"/>
        <v>0</v>
      </c>
      <c r="J261" s="567">
        <v>0</v>
      </c>
      <c r="K261" s="52">
        <f t="shared" si="100"/>
        <v>0.78</v>
      </c>
      <c r="L261" s="222"/>
      <c r="M261" s="50"/>
      <c r="N261" s="51"/>
      <c r="O261" s="549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6"/>
    </row>
    <row r="262" spans="1:57" s="48" customFormat="1" ht="38.25" x14ac:dyDescent="0.2">
      <c r="A262" s="665"/>
      <c r="B262" s="503" t="s">
        <v>1079</v>
      </c>
      <c r="C262" s="729"/>
      <c r="D262" s="470">
        <v>2021</v>
      </c>
      <c r="E262" s="567">
        <f t="shared" si="129"/>
        <v>0.44440000000000002</v>
      </c>
      <c r="F262" s="567">
        <v>5.7799999999999997E-2</v>
      </c>
      <c r="G262" s="567">
        <v>0.3866</v>
      </c>
      <c r="H262" s="567">
        <v>0</v>
      </c>
      <c r="I262" s="567">
        <v>0</v>
      </c>
      <c r="J262" s="567">
        <v>0</v>
      </c>
      <c r="K262" s="52">
        <f t="shared" si="100"/>
        <v>0.44440000000000002</v>
      </c>
      <c r="L262" s="222"/>
      <c r="M262" s="50"/>
      <c r="N262" s="51"/>
      <c r="O262" s="549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6"/>
    </row>
    <row r="263" spans="1:57" s="48" customFormat="1" x14ac:dyDescent="0.2">
      <c r="A263" s="665"/>
      <c r="B263" s="503"/>
      <c r="C263" s="742"/>
      <c r="D263" s="470">
        <v>2022</v>
      </c>
      <c r="E263" s="567">
        <f t="shared" si="129"/>
        <v>0.33560000000000001</v>
      </c>
      <c r="F263" s="567">
        <v>4.3700000000000003E-2</v>
      </c>
      <c r="G263" s="567">
        <v>0.29189999999999999</v>
      </c>
      <c r="H263" s="567">
        <v>0</v>
      </c>
      <c r="I263" s="567">
        <v>0</v>
      </c>
      <c r="J263" s="567">
        <v>0</v>
      </c>
      <c r="K263" s="52">
        <f t="shared" si="100"/>
        <v>0.33560000000000001</v>
      </c>
      <c r="L263" s="222"/>
      <c r="M263" s="50"/>
      <c r="N263" s="51"/>
      <c r="O263" s="549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6"/>
    </row>
    <row r="264" spans="1:57" s="48" customFormat="1" x14ac:dyDescent="0.2">
      <c r="A264" s="698" t="s">
        <v>1121</v>
      </c>
      <c r="B264" s="638" t="s">
        <v>1052</v>
      </c>
      <c r="C264" s="638" t="s">
        <v>984</v>
      </c>
      <c r="D264" s="46" t="s">
        <v>513</v>
      </c>
      <c r="E264" s="567">
        <f>E265+E266+E267</f>
        <v>9.7251000000000012</v>
      </c>
      <c r="F264" s="567">
        <f t="shared" ref="F264:G264" si="133">F265+F266+F267</f>
        <v>2.0865</v>
      </c>
      <c r="G264" s="567">
        <f t="shared" si="133"/>
        <v>0</v>
      </c>
      <c r="H264" s="567">
        <f>H265+H266+H267</f>
        <v>7.6386000000000003</v>
      </c>
      <c r="I264" s="567">
        <f t="shared" ref="I264:J264" si="134">I265+I266+I267</f>
        <v>0</v>
      </c>
      <c r="J264" s="567">
        <f t="shared" si="134"/>
        <v>0</v>
      </c>
      <c r="K264" s="52">
        <f t="shared" si="100"/>
        <v>9.7251000000000012</v>
      </c>
      <c r="L264" s="222"/>
      <c r="M264" s="50"/>
      <c r="N264" s="51"/>
      <c r="O264" s="549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6"/>
    </row>
    <row r="265" spans="1:57" s="48" customFormat="1" x14ac:dyDescent="0.2">
      <c r="A265" s="698"/>
      <c r="B265" s="639"/>
      <c r="C265" s="639"/>
      <c r="D265" s="470">
        <v>2020</v>
      </c>
      <c r="E265" s="567">
        <f t="shared" si="129"/>
        <v>0.94510000000000005</v>
      </c>
      <c r="F265" s="567">
        <v>0.94510000000000005</v>
      </c>
      <c r="G265" s="567">
        <v>0</v>
      </c>
      <c r="H265" s="567">
        <v>0</v>
      </c>
      <c r="I265" s="567">
        <v>0</v>
      </c>
      <c r="J265" s="567">
        <v>0</v>
      </c>
      <c r="K265" s="52">
        <f t="shared" si="100"/>
        <v>0.94510000000000005</v>
      </c>
      <c r="L265" s="222"/>
      <c r="M265" s="50"/>
      <c r="N265" s="51"/>
      <c r="O265" s="549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6"/>
    </row>
    <row r="266" spans="1:57" s="48" customFormat="1" x14ac:dyDescent="0.2">
      <c r="A266" s="698"/>
      <c r="B266" s="639"/>
      <c r="C266" s="639"/>
      <c r="D266" s="470">
        <v>2021</v>
      </c>
      <c r="E266" s="567">
        <f t="shared" si="129"/>
        <v>2</v>
      </c>
      <c r="F266" s="567">
        <v>0.26</v>
      </c>
      <c r="G266" s="567">
        <v>0</v>
      </c>
      <c r="H266" s="567">
        <v>1.74</v>
      </c>
      <c r="I266" s="567">
        <v>0</v>
      </c>
      <c r="J266" s="567">
        <v>0</v>
      </c>
      <c r="K266" s="52">
        <f t="shared" si="100"/>
        <v>2</v>
      </c>
      <c r="L266" s="222"/>
      <c r="M266" s="50"/>
      <c r="N266" s="51"/>
      <c r="O266" s="549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6"/>
    </row>
    <row r="267" spans="1:57" s="48" customFormat="1" x14ac:dyDescent="0.2">
      <c r="A267" s="699"/>
      <c r="B267" s="640"/>
      <c r="C267" s="640"/>
      <c r="D267" s="470">
        <v>2022</v>
      </c>
      <c r="E267" s="567">
        <f t="shared" si="129"/>
        <v>6.78</v>
      </c>
      <c r="F267" s="567">
        <v>0.88139999999999996</v>
      </c>
      <c r="G267" s="567">
        <v>0</v>
      </c>
      <c r="H267" s="567">
        <v>5.8986000000000001</v>
      </c>
      <c r="I267" s="567">
        <v>0</v>
      </c>
      <c r="J267" s="567">
        <v>0</v>
      </c>
      <c r="K267" s="52">
        <f t="shared" ref="K267:K328" si="135">F267+G267+H267+I267+J267</f>
        <v>6.78</v>
      </c>
      <c r="L267" s="222"/>
      <c r="M267" s="50"/>
      <c r="N267" s="51"/>
      <c r="O267" s="549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6"/>
    </row>
    <row r="268" spans="1:57" s="48" customFormat="1" ht="21" customHeight="1" x14ac:dyDescent="0.2">
      <c r="A268" s="652">
        <v>3</v>
      </c>
      <c r="B268" s="649" t="s">
        <v>604</v>
      </c>
      <c r="C268" s="631"/>
      <c r="D268" s="46" t="s">
        <v>198</v>
      </c>
      <c r="E268" s="47">
        <f>E269+E270+E271+E272+E273+E274+E275</f>
        <v>12.719999999999999</v>
      </c>
      <c r="F268" s="47">
        <f t="shared" ref="F268:J268" si="136">F269+F270+F271+F272+F273+F274+F275</f>
        <v>12.719999999999999</v>
      </c>
      <c r="G268" s="47">
        <f t="shared" si="136"/>
        <v>0</v>
      </c>
      <c r="H268" s="47">
        <f t="shared" si="136"/>
        <v>0</v>
      </c>
      <c r="I268" s="47">
        <f t="shared" si="136"/>
        <v>0</v>
      </c>
      <c r="J268" s="47">
        <f t="shared" si="136"/>
        <v>0</v>
      </c>
      <c r="K268" s="52">
        <f t="shared" si="135"/>
        <v>12.719999999999999</v>
      </c>
      <c r="L268" s="52"/>
      <c r="M268" s="50"/>
      <c r="N268" s="51"/>
      <c r="O268" s="550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6"/>
    </row>
    <row r="269" spans="1:57" s="48" customFormat="1" ht="15.75" customHeight="1" x14ac:dyDescent="0.2">
      <c r="A269" s="653"/>
      <c r="B269" s="650"/>
      <c r="C269" s="648"/>
      <c r="D269" s="46">
        <v>2019</v>
      </c>
      <c r="E269" s="47">
        <f>E276+E277+E278+E279+E281</f>
        <v>1.2</v>
      </c>
      <c r="F269" s="47">
        <f>F276+F277+F278+F279+F281</f>
        <v>1.2</v>
      </c>
      <c r="G269" s="47">
        <f t="shared" ref="G269:J269" si="137">G276+G277+G278+G279+G281</f>
        <v>0</v>
      </c>
      <c r="H269" s="47">
        <f t="shared" si="137"/>
        <v>0</v>
      </c>
      <c r="I269" s="47">
        <f t="shared" si="137"/>
        <v>0</v>
      </c>
      <c r="J269" s="47">
        <f t="shared" si="137"/>
        <v>0</v>
      </c>
      <c r="K269" s="52">
        <f t="shared" si="135"/>
        <v>1.2</v>
      </c>
      <c r="L269" s="52"/>
      <c r="M269" s="50"/>
      <c r="N269" s="51"/>
      <c r="O269" s="550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6"/>
    </row>
    <row r="270" spans="1:57" s="48" customFormat="1" ht="15.75" customHeight="1" x14ac:dyDescent="0.2">
      <c r="A270" s="653"/>
      <c r="B270" s="650"/>
      <c r="C270" s="648"/>
      <c r="D270" s="46">
        <v>2020</v>
      </c>
      <c r="E270" s="47">
        <f>E282</f>
        <v>1.92</v>
      </c>
      <c r="F270" s="47">
        <f>F282</f>
        <v>1.92</v>
      </c>
      <c r="G270" s="47">
        <f t="shared" ref="G270:J272" si="138">G282</f>
        <v>0</v>
      </c>
      <c r="H270" s="47">
        <f t="shared" si="138"/>
        <v>0</v>
      </c>
      <c r="I270" s="47">
        <f t="shared" si="138"/>
        <v>0</v>
      </c>
      <c r="J270" s="47">
        <f t="shared" si="138"/>
        <v>0</v>
      </c>
      <c r="K270" s="52">
        <f t="shared" si="135"/>
        <v>1.92</v>
      </c>
      <c r="L270" s="52"/>
      <c r="M270" s="50"/>
      <c r="N270" s="51"/>
      <c r="O270" s="550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6"/>
    </row>
    <row r="271" spans="1:57" s="48" customFormat="1" ht="15.75" customHeight="1" x14ac:dyDescent="0.2">
      <c r="A271" s="653"/>
      <c r="B271" s="650"/>
      <c r="C271" s="648"/>
      <c r="D271" s="46">
        <v>2021</v>
      </c>
      <c r="E271" s="47">
        <f>E283</f>
        <v>1.92</v>
      </c>
      <c r="F271" s="47">
        <f>F283</f>
        <v>1.92</v>
      </c>
      <c r="G271" s="47">
        <f t="shared" si="138"/>
        <v>0</v>
      </c>
      <c r="H271" s="47">
        <f t="shared" si="138"/>
        <v>0</v>
      </c>
      <c r="I271" s="47">
        <f t="shared" si="138"/>
        <v>0</v>
      </c>
      <c r="J271" s="47">
        <f t="shared" si="138"/>
        <v>0</v>
      </c>
      <c r="K271" s="52">
        <f t="shared" si="135"/>
        <v>1.92</v>
      </c>
      <c r="L271" s="52"/>
      <c r="M271" s="50"/>
      <c r="N271" s="51"/>
      <c r="O271" s="550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6"/>
    </row>
    <row r="272" spans="1:57" s="48" customFormat="1" ht="15.75" customHeight="1" x14ac:dyDescent="0.2">
      <c r="A272" s="653"/>
      <c r="B272" s="650"/>
      <c r="C272" s="499"/>
      <c r="D272" s="46">
        <v>2022</v>
      </c>
      <c r="E272" s="47">
        <f t="shared" ref="E272:J275" si="139">E284</f>
        <v>1.92</v>
      </c>
      <c r="F272" s="47">
        <f>F284</f>
        <v>1.92</v>
      </c>
      <c r="G272" s="47">
        <f t="shared" si="138"/>
        <v>0</v>
      </c>
      <c r="H272" s="47">
        <f t="shared" si="138"/>
        <v>0</v>
      </c>
      <c r="I272" s="47">
        <f t="shared" si="138"/>
        <v>0</v>
      </c>
      <c r="J272" s="47">
        <f t="shared" si="138"/>
        <v>0</v>
      </c>
      <c r="K272" s="52">
        <f t="shared" si="135"/>
        <v>1.92</v>
      </c>
      <c r="L272" s="52"/>
      <c r="M272" s="50"/>
      <c r="N272" s="51"/>
      <c r="O272" s="549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6"/>
    </row>
    <row r="273" spans="1:57" s="48" customFormat="1" ht="15.75" customHeight="1" x14ac:dyDescent="0.2">
      <c r="A273" s="653"/>
      <c r="B273" s="650"/>
      <c r="C273" s="499"/>
      <c r="D273" s="46">
        <v>2023</v>
      </c>
      <c r="E273" s="47">
        <f t="shared" si="139"/>
        <v>1.92</v>
      </c>
      <c r="F273" s="47">
        <f t="shared" si="139"/>
        <v>1.92</v>
      </c>
      <c r="G273" s="47">
        <f t="shared" si="139"/>
        <v>0</v>
      </c>
      <c r="H273" s="47">
        <f t="shared" si="139"/>
        <v>0</v>
      </c>
      <c r="I273" s="47">
        <f t="shared" si="139"/>
        <v>0</v>
      </c>
      <c r="J273" s="47">
        <f t="shared" si="139"/>
        <v>0</v>
      </c>
      <c r="K273" s="52">
        <f t="shared" si="135"/>
        <v>1.92</v>
      </c>
      <c r="L273" s="52"/>
      <c r="M273" s="50"/>
      <c r="N273" s="51"/>
      <c r="O273" s="549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6"/>
    </row>
    <row r="274" spans="1:57" s="48" customFormat="1" ht="15.75" customHeight="1" x14ac:dyDescent="0.2">
      <c r="A274" s="653"/>
      <c r="B274" s="650"/>
      <c r="C274" s="499"/>
      <c r="D274" s="46">
        <v>2024</v>
      </c>
      <c r="E274" s="47">
        <f t="shared" si="139"/>
        <v>1.92</v>
      </c>
      <c r="F274" s="47">
        <f t="shared" si="139"/>
        <v>1.92</v>
      </c>
      <c r="G274" s="47">
        <f t="shared" si="139"/>
        <v>0</v>
      </c>
      <c r="H274" s="47">
        <f t="shared" si="139"/>
        <v>0</v>
      </c>
      <c r="I274" s="47">
        <f t="shared" si="139"/>
        <v>0</v>
      </c>
      <c r="J274" s="47">
        <f t="shared" si="139"/>
        <v>0</v>
      </c>
      <c r="K274" s="52">
        <f t="shared" si="135"/>
        <v>1.92</v>
      </c>
      <c r="L274" s="52"/>
      <c r="M274" s="50"/>
      <c r="N274" s="51"/>
      <c r="O274" s="549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6"/>
    </row>
    <row r="275" spans="1:57" s="48" customFormat="1" ht="15.75" customHeight="1" x14ac:dyDescent="0.2">
      <c r="A275" s="836"/>
      <c r="B275" s="651"/>
      <c r="C275" s="499"/>
      <c r="D275" s="46">
        <v>2025</v>
      </c>
      <c r="E275" s="47">
        <f t="shared" si="139"/>
        <v>1.92</v>
      </c>
      <c r="F275" s="47">
        <f t="shared" si="139"/>
        <v>1.92</v>
      </c>
      <c r="G275" s="47">
        <f t="shared" si="139"/>
        <v>0</v>
      </c>
      <c r="H275" s="47">
        <f t="shared" si="139"/>
        <v>0</v>
      </c>
      <c r="I275" s="47">
        <f t="shared" si="139"/>
        <v>0</v>
      </c>
      <c r="J275" s="47">
        <f t="shared" si="139"/>
        <v>0</v>
      </c>
      <c r="K275" s="52">
        <f t="shared" si="135"/>
        <v>1.92</v>
      </c>
      <c r="L275" s="52"/>
      <c r="M275" s="50"/>
      <c r="N275" s="51"/>
      <c r="O275" s="549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6"/>
    </row>
    <row r="276" spans="1:57" s="48" customFormat="1" ht="25.5" x14ac:dyDescent="0.2">
      <c r="A276" s="210" t="s">
        <v>650</v>
      </c>
      <c r="B276" s="211" t="s">
        <v>748</v>
      </c>
      <c r="C276" s="862" t="s">
        <v>754</v>
      </c>
      <c r="D276" s="470">
        <v>2019</v>
      </c>
      <c r="E276" s="567">
        <f>F276+G276+H276+I276+J276</f>
        <v>0</v>
      </c>
      <c r="F276" s="567">
        <v>0</v>
      </c>
      <c r="G276" s="567">
        <v>0</v>
      </c>
      <c r="H276" s="567">
        <v>0</v>
      </c>
      <c r="I276" s="567">
        <v>0</v>
      </c>
      <c r="J276" s="567">
        <v>0</v>
      </c>
      <c r="K276" s="52">
        <f t="shared" si="135"/>
        <v>0</v>
      </c>
      <c r="L276" s="52"/>
      <c r="M276" s="50"/>
      <c r="N276" s="51"/>
      <c r="O276" s="705" t="s">
        <v>807</v>
      </c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6"/>
    </row>
    <row r="277" spans="1:57" s="48" customFormat="1" ht="25.5" x14ac:dyDescent="0.2">
      <c r="A277" s="210" t="s">
        <v>740</v>
      </c>
      <c r="B277" s="211" t="s">
        <v>751</v>
      </c>
      <c r="C277" s="863"/>
      <c r="D277" s="470">
        <v>2019</v>
      </c>
      <c r="E277" s="567">
        <f t="shared" ref="E277:E287" si="140">F277+G277+H277+I277+J277</f>
        <v>0</v>
      </c>
      <c r="F277" s="567">
        <v>0</v>
      </c>
      <c r="G277" s="567">
        <v>0</v>
      </c>
      <c r="H277" s="567">
        <v>0</v>
      </c>
      <c r="I277" s="567">
        <v>0</v>
      </c>
      <c r="J277" s="567">
        <v>0</v>
      </c>
      <c r="K277" s="52">
        <f t="shared" si="135"/>
        <v>0</v>
      </c>
      <c r="L277" s="52"/>
      <c r="M277" s="50"/>
      <c r="N277" s="51"/>
      <c r="O277" s="706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6"/>
    </row>
    <row r="278" spans="1:57" s="48" customFormat="1" ht="25.5" x14ac:dyDescent="0.2">
      <c r="A278" s="210" t="s">
        <v>749</v>
      </c>
      <c r="B278" s="211" t="s">
        <v>752</v>
      </c>
      <c r="C278" s="863"/>
      <c r="D278" s="470">
        <v>2019</v>
      </c>
      <c r="E278" s="567">
        <f t="shared" si="140"/>
        <v>0</v>
      </c>
      <c r="F278" s="567">
        <v>0</v>
      </c>
      <c r="G278" s="567">
        <v>0</v>
      </c>
      <c r="H278" s="567">
        <v>0</v>
      </c>
      <c r="I278" s="567">
        <v>0</v>
      </c>
      <c r="J278" s="567">
        <v>0</v>
      </c>
      <c r="K278" s="52">
        <f t="shared" si="135"/>
        <v>0</v>
      </c>
      <c r="L278" s="52"/>
      <c r="M278" s="50"/>
      <c r="N278" s="51"/>
      <c r="O278" s="706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6"/>
    </row>
    <row r="279" spans="1:57" s="48" customFormat="1" ht="25.5" x14ac:dyDescent="0.2">
      <c r="A279" s="210" t="s">
        <v>750</v>
      </c>
      <c r="B279" s="211" t="s">
        <v>753</v>
      </c>
      <c r="C279" s="778"/>
      <c r="D279" s="470">
        <v>2019</v>
      </c>
      <c r="E279" s="567">
        <f t="shared" si="140"/>
        <v>0</v>
      </c>
      <c r="F279" s="567">
        <v>0</v>
      </c>
      <c r="G279" s="567">
        <v>0</v>
      </c>
      <c r="H279" s="567">
        <v>0</v>
      </c>
      <c r="I279" s="567">
        <v>0</v>
      </c>
      <c r="J279" s="567">
        <v>0</v>
      </c>
      <c r="K279" s="52">
        <f t="shared" si="135"/>
        <v>0</v>
      </c>
      <c r="L279" s="52"/>
      <c r="M279" s="50"/>
      <c r="N279" s="51"/>
      <c r="O279" s="730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6"/>
    </row>
    <row r="280" spans="1:57" s="48" customFormat="1" x14ac:dyDescent="0.2">
      <c r="A280" s="662" t="s">
        <v>755</v>
      </c>
      <c r="B280" s="631" t="s">
        <v>760</v>
      </c>
      <c r="C280" s="670" t="s">
        <v>761</v>
      </c>
      <c r="D280" s="46" t="s">
        <v>198</v>
      </c>
      <c r="E280" s="47">
        <f>E281+E282+E283+E284+E285+E286+E287</f>
        <v>12.719999999999999</v>
      </c>
      <c r="F280" s="47">
        <f t="shared" ref="F280:J280" si="141">F281+F282+F283+F284+F285+F286+F287</f>
        <v>12.719999999999999</v>
      </c>
      <c r="G280" s="47">
        <f t="shared" si="141"/>
        <v>0</v>
      </c>
      <c r="H280" s="47">
        <f t="shared" si="141"/>
        <v>0</v>
      </c>
      <c r="I280" s="47">
        <f t="shared" si="141"/>
        <v>0</v>
      </c>
      <c r="J280" s="47">
        <f t="shared" si="141"/>
        <v>0</v>
      </c>
      <c r="K280" s="52">
        <f t="shared" si="135"/>
        <v>12.719999999999999</v>
      </c>
      <c r="L280" s="52"/>
      <c r="M280" s="50"/>
      <c r="N280" s="51"/>
      <c r="O280" s="503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6"/>
    </row>
    <row r="281" spans="1:57" s="48" customFormat="1" ht="12.75" customHeight="1" x14ac:dyDescent="0.2">
      <c r="A281" s="663"/>
      <c r="B281" s="648"/>
      <c r="C281" s="671"/>
      <c r="D281" s="470">
        <v>2019</v>
      </c>
      <c r="E281" s="567">
        <f t="shared" si="140"/>
        <v>1.2</v>
      </c>
      <c r="F281" s="567">
        <v>1.2</v>
      </c>
      <c r="G281" s="567">
        <v>0</v>
      </c>
      <c r="H281" s="567">
        <v>0</v>
      </c>
      <c r="I281" s="567">
        <v>0</v>
      </c>
      <c r="J281" s="567">
        <v>0</v>
      </c>
      <c r="K281" s="52">
        <f t="shared" si="135"/>
        <v>1.2</v>
      </c>
      <c r="L281" s="52"/>
      <c r="M281" s="50"/>
      <c r="N281" s="51"/>
      <c r="O281" s="862" t="s">
        <v>739</v>
      </c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6"/>
    </row>
    <row r="282" spans="1:57" s="48" customFormat="1" ht="15.75" customHeight="1" x14ac:dyDescent="0.2">
      <c r="A282" s="663"/>
      <c r="B282" s="648"/>
      <c r="C282" s="671"/>
      <c r="D282" s="470">
        <v>2020</v>
      </c>
      <c r="E282" s="567">
        <f t="shared" si="140"/>
        <v>1.92</v>
      </c>
      <c r="F282" s="567">
        <v>1.92</v>
      </c>
      <c r="G282" s="567">
        <v>0</v>
      </c>
      <c r="H282" s="567">
        <v>0</v>
      </c>
      <c r="I282" s="567">
        <v>0</v>
      </c>
      <c r="J282" s="567">
        <v>0</v>
      </c>
      <c r="K282" s="52">
        <f t="shared" si="135"/>
        <v>1.92</v>
      </c>
      <c r="L282" s="52"/>
      <c r="M282" s="50"/>
      <c r="N282" s="51"/>
      <c r="O282" s="863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6"/>
    </row>
    <row r="283" spans="1:57" s="48" customFormat="1" x14ac:dyDescent="0.2">
      <c r="A283" s="663"/>
      <c r="B283" s="648"/>
      <c r="C283" s="671"/>
      <c r="D283" s="470">
        <v>2021</v>
      </c>
      <c r="E283" s="567">
        <f t="shared" si="140"/>
        <v>1.92</v>
      </c>
      <c r="F283" s="567">
        <v>1.92</v>
      </c>
      <c r="G283" s="567">
        <v>0</v>
      </c>
      <c r="H283" s="567">
        <v>0</v>
      </c>
      <c r="I283" s="567">
        <v>0</v>
      </c>
      <c r="J283" s="567">
        <v>0</v>
      </c>
      <c r="K283" s="52">
        <f t="shared" si="135"/>
        <v>1.92</v>
      </c>
      <c r="L283" s="52"/>
      <c r="M283" s="50"/>
      <c r="N283" s="51"/>
      <c r="O283" s="778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6"/>
    </row>
    <row r="284" spans="1:57" s="48" customFormat="1" x14ac:dyDescent="0.2">
      <c r="A284" s="663"/>
      <c r="B284" s="648"/>
      <c r="C284" s="671"/>
      <c r="D284" s="470">
        <v>2022</v>
      </c>
      <c r="E284" s="567">
        <f t="shared" si="140"/>
        <v>1.92</v>
      </c>
      <c r="F284" s="567">
        <v>1.92</v>
      </c>
      <c r="G284" s="567">
        <v>0</v>
      </c>
      <c r="H284" s="567">
        <v>0</v>
      </c>
      <c r="I284" s="567">
        <v>0</v>
      </c>
      <c r="J284" s="567">
        <v>0</v>
      </c>
      <c r="K284" s="52">
        <f t="shared" si="135"/>
        <v>1.92</v>
      </c>
      <c r="L284" s="52"/>
      <c r="M284" s="50"/>
      <c r="N284" s="51"/>
      <c r="O284" s="532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6"/>
    </row>
    <row r="285" spans="1:57" s="48" customFormat="1" x14ac:dyDescent="0.2">
      <c r="A285" s="663"/>
      <c r="B285" s="648"/>
      <c r="C285" s="671"/>
      <c r="D285" s="470">
        <v>2023</v>
      </c>
      <c r="E285" s="567">
        <f t="shared" si="140"/>
        <v>1.92</v>
      </c>
      <c r="F285" s="567">
        <v>1.92</v>
      </c>
      <c r="G285" s="567">
        <v>0</v>
      </c>
      <c r="H285" s="567">
        <v>0</v>
      </c>
      <c r="I285" s="567">
        <v>0</v>
      </c>
      <c r="J285" s="567">
        <v>0</v>
      </c>
      <c r="K285" s="52">
        <f t="shared" si="135"/>
        <v>1.92</v>
      </c>
      <c r="L285" s="52"/>
      <c r="M285" s="50"/>
      <c r="N285" s="51"/>
      <c r="O285" s="532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6"/>
    </row>
    <row r="286" spans="1:57" s="48" customFormat="1" x14ac:dyDescent="0.2">
      <c r="A286" s="663"/>
      <c r="B286" s="648"/>
      <c r="C286" s="671"/>
      <c r="D286" s="470">
        <v>2024</v>
      </c>
      <c r="E286" s="567">
        <f t="shared" si="140"/>
        <v>1.92</v>
      </c>
      <c r="F286" s="567">
        <v>1.92</v>
      </c>
      <c r="G286" s="567">
        <v>0</v>
      </c>
      <c r="H286" s="567">
        <v>0</v>
      </c>
      <c r="I286" s="567">
        <v>0</v>
      </c>
      <c r="J286" s="567">
        <v>0</v>
      </c>
      <c r="K286" s="52">
        <f t="shared" si="135"/>
        <v>1.92</v>
      </c>
      <c r="L286" s="52"/>
      <c r="M286" s="50"/>
      <c r="N286" s="51"/>
      <c r="O286" s="532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6"/>
    </row>
    <row r="287" spans="1:57" s="48" customFormat="1" x14ac:dyDescent="0.2">
      <c r="A287" s="663"/>
      <c r="B287" s="648"/>
      <c r="C287" s="672"/>
      <c r="D287" s="470">
        <v>2025</v>
      </c>
      <c r="E287" s="567">
        <f t="shared" si="140"/>
        <v>1.92</v>
      </c>
      <c r="F287" s="567">
        <v>1.92</v>
      </c>
      <c r="G287" s="567">
        <v>0</v>
      </c>
      <c r="H287" s="567">
        <v>0</v>
      </c>
      <c r="I287" s="567">
        <v>0</v>
      </c>
      <c r="J287" s="567">
        <v>0</v>
      </c>
      <c r="K287" s="52">
        <f t="shared" si="135"/>
        <v>1.92</v>
      </c>
      <c r="L287" s="52"/>
      <c r="M287" s="50"/>
      <c r="N287" s="51"/>
      <c r="O287" s="532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6"/>
    </row>
    <row r="288" spans="1:57" s="90" customFormat="1" x14ac:dyDescent="0.2">
      <c r="A288" s="731" t="s">
        <v>385</v>
      </c>
      <c r="B288" s="649" t="s">
        <v>651</v>
      </c>
      <c r="C288" s="649"/>
      <c r="D288" s="46" t="s">
        <v>198</v>
      </c>
      <c r="E288" s="560">
        <f>SUM(E289:E300)</f>
        <v>869.24545000000001</v>
      </c>
      <c r="F288" s="560">
        <f t="shared" ref="F288:J288" si="142">SUM(F289:F300)</f>
        <v>253.16034999999999</v>
      </c>
      <c r="G288" s="560">
        <f t="shared" si="142"/>
        <v>4.0339</v>
      </c>
      <c r="H288" s="560">
        <f t="shared" si="142"/>
        <v>561.98320000000001</v>
      </c>
      <c r="I288" s="560">
        <f t="shared" si="142"/>
        <v>20.599</v>
      </c>
      <c r="J288" s="560">
        <f t="shared" si="142"/>
        <v>29.468999999999998</v>
      </c>
      <c r="K288" s="52">
        <f t="shared" si="135"/>
        <v>869.24545000000012</v>
      </c>
      <c r="L288" s="52"/>
      <c r="M288" s="50"/>
      <c r="N288" s="51"/>
      <c r="O288" s="49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9"/>
    </row>
    <row r="289" spans="1:57" s="90" customFormat="1" x14ac:dyDescent="0.2">
      <c r="A289" s="751"/>
      <c r="B289" s="721"/>
      <c r="C289" s="701"/>
      <c r="D289" s="46">
        <v>2019</v>
      </c>
      <c r="E289" s="47">
        <f>E353+E364+E326+E318</f>
        <v>2.2943799999999999</v>
      </c>
      <c r="F289" s="47">
        <f t="shared" ref="F289:K289" si="143">F353+F364+F326+F318</f>
        <v>1.3040799999999999</v>
      </c>
      <c r="G289" s="47">
        <f t="shared" si="143"/>
        <v>3.39E-2</v>
      </c>
      <c r="H289" s="47">
        <f t="shared" si="143"/>
        <v>0.85640000000000005</v>
      </c>
      <c r="I289" s="47">
        <f t="shared" si="143"/>
        <v>0</v>
      </c>
      <c r="J289" s="47">
        <f t="shared" si="143"/>
        <v>0.1</v>
      </c>
      <c r="K289" s="47">
        <f t="shared" si="143"/>
        <v>2.2943799999999999</v>
      </c>
      <c r="L289" s="52"/>
      <c r="M289" s="50"/>
      <c r="N289" s="51"/>
      <c r="O289" s="49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9"/>
    </row>
    <row r="290" spans="1:57" s="90" customFormat="1" x14ac:dyDescent="0.2">
      <c r="A290" s="751"/>
      <c r="B290" s="721"/>
      <c r="C290" s="701"/>
      <c r="D290" s="46">
        <v>2020</v>
      </c>
      <c r="E290" s="47">
        <f>E310+E331+E365+E350+E367+E369+E371+E327+E324</f>
        <v>48.549300000000002</v>
      </c>
      <c r="F290" s="47">
        <f t="shared" ref="F290:J290" si="144">F310+F331+F365+F350+F367+F369+F371+F327+F324</f>
        <v>0.22970000000000002</v>
      </c>
      <c r="G290" s="47">
        <f t="shared" si="144"/>
        <v>4</v>
      </c>
      <c r="H290" s="47">
        <f t="shared" si="144"/>
        <v>22.361600000000003</v>
      </c>
      <c r="I290" s="47">
        <f t="shared" si="144"/>
        <v>20.599</v>
      </c>
      <c r="J290" s="47">
        <f t="shared" si="144"/>
        <v>1.359</v>
      </c>
      <c r="K290" s="52">
        <f t="shared" si="135"/>
        <v>48.549300000000009</v>
      </c>
      <c r="L290" s="52"/>
      <c r="M290" s="50"/>
      <c r="N290" s="51"/>
      <c r="O290" s="49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9"/>
    </row>
    <row r="291" spans="1:57" s="90" customFormat="1" x14ac:dyDescent="0.2">
      <c r="A291" s="751"/>
      <c r="B291" s="721"/>
      <c r="C291" s="701"/>
      <c r="D291" s="46">
        <v>2021</v>
      </c>
      <c r="E291" s="47">
        <f>E332+E347+E351+E304+E328+E343</f>
        <v>136.06969999999998</v>
      </c>
      <c r="F291" s="47">
        <f t="shared" ref="F291:J291" si="145">F332+F347+F351+F304+F328+F343</f>
        <v>1.1971000000000001</v>
      </c>
      <c r="G291" s="47">
        <f t="shared" si="145"/>
        <v>0</v>
      </c>
      <c r="H291" s="47">
        <f t="shared" si="145"/>
        <v>128.45259999999999</v>
      </c>
      <c r="I291" s="47">
        <f t="shared" si="145"/>
        <v>0</v>
      </c>
      <c r="J291" s="47">
        <f t="shared" si="145"/>
        <v>6.42</v>
      </c>
      <c r="K291" s="52">
        <f t="shared" si="135"/>
        <v>136.06969999999998</v>
      </c>
      <c r="L291" s="52"/>
      <c r="M291" s="50"/>
      <c r="N291" s="51"/>
      <c r="O291" s="49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9"/>
    </row>
    <row r="292" spans="1:57" s="90" customFormat="1" x14ac:dyDescent="0.2">
      <c r="A292" s="751"/>
      <c r="B292" s="721"/>
      <c r="C292" s="701"/>
      <c r="D292" s="46">
        <v>2022</v>
      </c>
      <c r="E292" s="47">
        <f>E312+E321+E333+E348+E352+E329</f>
        <v>13.754400000000002</v>
      </c>
      <c r="F292" s="47">
        <f t="shared" ref="F292:J292" si="146">F312+F321+F333+F348+F352+F329</f>
        <v>0.25179999999999997</v>
      </c>
      <c r="G292" s="47">
        <f t="shared" si="146"/>
        <v>0</v>
      </c>
      <c r="H292" s="47">
        <f t="shared" si="146"/>
        <v>12.832600000000001</v>
      </c>
      <c r="I292" s="47">
        <f t="shared" si="146"/>
        <v>0</v>
      </c>
      <c r="J292" s="47">
        <f t="shared" si="146"/>
        <v>0.66999999999999993</v>
      </c>
      <c r="K292" s="52">
        <f t="shared" si="135"/>
        <v>13.7544</v>
      </c>
      <c r="L292" s="52"/>
      <c r="M292" s="50"/>
      <c r="N292" s="51"/>
      <c r="O292" s="49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9"/>
    </row>
    <row r="293" spans="1:57" s="90" customFormat="1" x14ac:dyDescent="0.2">
      <c r="A293" s="751"/>
      <c r="B293" s="721"/>
      <c r="C293" s="701"/>
      <c r="D293" s="46">
        <v>2023</v>
      </c>
      <c r="E293" s="47">
        <f>E302+E306+E334+E345+E322</f>
        <v>153.62058000000002</v>
      </c>
      <c r="F293" s="47">
        <f t="shared" ref="F293:J293" si="147">F302+F306+F334+F345+F322</f>
        <v>2.0580000000000001E-2</v>
      </c>
      <c r="G293" s="47">
        <f t="shared" si="147"/>
        <v>0</v>
      </c>
      <c r="H293" s="47">
        <f t="shared" si="147"/>
        <v>145.92000000000002</v>
      </c>
      <c r="I293" s="47">
        <f t="shared" si="147"/>
        <v>0</v>
      </c>
      <c r="J293" s="47">
        <f t="shared" si="147"/>
        <v>7.68</v>
      </c>
      <c r="K293" s="52">
        <f t="shared" si="135"/>
        <v>153.62058000000002</v>
      </c>
      <c r="L293" s="52"/>
      <c r="M293" s="50"/>
      <c r="N293" s="51"/>
      <c r="O293" s="49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9"/>
    </row>
    <row r="294" spans="1:57" s="90" customFormat="1" x14ac:dyDescent="0.2">
      <c r="A294" s="751"/>
      <c r="B294" s="721"/>
      <c r="C294" s="701"/>
      <c r="D294" s="46">
        <v>2024</v>
      </c>
      <c r="E294" s="47">
        <f>E308+E314+E335+E319</f>
        <v>19.82058</v>
      </c>
      <c r="F294" s="47">
        <f t="shared" ref="F294:J294" si="148">F308+F314+F335+F319</f>
        <v>2.0580000000000001E-2</v>
      </c>
      <c r="G294" s="47">
        <f t="shared" si="148"/>
        <v>0</v>
      </c>
      <c r="H294" s="47">
        <f t="shared" si="148"/>
        <v>18.810000000000002</v>
      </c>
      <c r="I294" s="47">
        <f t="shared" si="148"/>
        <v>0</v>
      </c>
      <c r="J294" s="47">
        <f t="shared" si="148"/>
        <v>0.99</v>
      </c>
      <c r="K294" s="52">
        <f t="shared" si="135"/>
        <v>19.82058</v>
      </c>
      <c r="L294" s="52"/>
      <c r="M294" s="50"/>
      <c r="N294" s="51"/>
      <c r="O294" s="49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9"/>
    </row>
    <row r="295" spans="1:57" s="90" customFormat="1" x14ac:dyDescent="0.2">
      <c r="A295" s="751"/>
      <c r="B295" s="721"/>
      <c r="C295" s="701"/>
      <c r="D295" s="46">
        <v>2025</v>
      </c>
      <c r="E295" s="47">
        <f>E316+E336+E362</f>
        <v>125.02058</v>
      </c>
      <c r="F295" s="47">
        <f t="shared" ref="F295:J295" si="149">F316+F336+F362</f>
        <v>2.0580000000000001E-2</v>
      </c>
      <c r="G295" s="47">
        <f t="shared" si="149"/>
        <v>0</v>
      </c>
      <c r="H295" s="47">
        <f t="shared" si="149"/>
        <v>118.75</v>
      </c>
      <c r="I295" s="47">
        <f t="shared" si="149"/>
        <v>0</v>
      </c>
      <c r="J295" s="47">
        <f t="shared" si="149"/>
        <v>6.25</v>
      </c>
      <c r="K295" s="52">
        <f t="shared" si="135"/>
        <v>125.02058</v>
      </c>
      <c r="L295" s="52"/>
      <c r="M295" s="50"/>
      <c r="N295" s="51"/>
      <c r="O295" s="49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9"/>
    </row>
    <row r="296" spans="1:57" s="90" customFormat="1" ht="16.5" customHeight="1" x14ac:dyDescent="0.2">
      <c r="A296" s="751"/>
      <c r="B296" s="721"/>
      <c r="C296" s="701"/>
      <c r="D296" s="46">
        <v>2026</v>
      </c>
      <c r="E296" s="47">
        <f>E360+E337</f>
        <v>120.0214</v>
      </c>
      <c r="F296" s="47">
        <f t="shared" ref="F296:J296" si="150">F360+F337</f>
        <v>2.1399999999999999E-2</v>
      </c>
      <c r="G296" s="47">
        <f t="shared" si="150"/>
        <v>0</v>
      </c>
      <c r="H296" s="47">
        <f t="shared" si="150"/>
        <v>114</v>
      </c>
      <c r="I296" s="47">
        <f t="shared" si="150"/>
        <v>0</v>
      </c>
      <c r="J296" s="47">
        <f t="shared" si="150"/>
        <v>6</v>
      </c>
      <c r="K296" s="52">
        <f t="shared" si="135"/>
        <v>120.0214</v>
      </c>
      <c r="L296" s="52"/>
      <c r="M296" s="50"/>
      <c r="N296" s="51"/>
      <c r="O296" s="49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9"/>
    </row>
    <row r="297" spans="1:57" s="90" customFormat="1" x14ac:dyDescent="0.2">
      <c r="A297" s="751"/>
      <c r="B297" s="721"/>
      <c r="C297" s="701"/>
      <c r="D297" s="46">
        <v>2027</v>
      </c>
      <c r="E297" s="47">
        <f>E338</f>
        <v>2.2259999999999999E-2</v>
      </c>
      <c r="F297" s="47">
        <f t="shared" ref="F297:J297" si="151">F338</f>
        <v>2.2259999999999999E-2</v>
      </c>
      <c r="G297" s="47">
        <f t="shared" si="151"/>
        <v>0</v>
      </c>
      <c r="H297" s="47">
        <f t="shared" si="151"/>
        <v>0</v>
      </c>
      <c r="I297" s="47">
        <f t="shared" si="151"/>
        <v>0</v>
      </c>
      <c r="J297" s="47">
        <f t="shared" si="151"/>
        <v>0</v>
      </c>
      <c r="K297" s="52">
        <f t="shared" si="135"/>
        <v>2.2259999999999999E-2</v>
      </c>
      <c r="L297" s="52"/>
      <c r="M297" s="50"/>
      <c r="N297" s="51"/>
      <c r="O297" s="49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9"/>
    </row>
    <row r="298" spans="1:57" s="90" customFormat="1" x14ac:dyDescent="0.2">
      <c r="A298" s="751"/>
      <c r="B298" s="721"/>
      <c r="C298" s="701"/>
      <c r="D298" s="46">
        <v>2028</v>
      </c>
      <c r="E298" s="47">
        <f>E339+E356</f>
        <v>24.023150000000001</v>
      </c>
      <c r="F298" s="47">
        <f t="shared" ref="F298:G298" si="152">F339+F356</f>
        <v>24.023150000000001</v>
      </c>
      <c r="G298" s="47">
        <f t="shared" si="152"/>
        <v>0</v>
      </c>
      <c r="H298" s="47">
        <f t="shared" ref="H298:J300" si="153">H339+H356</f>
        <v>0</v>
      </c>
      <c r="I298" s="47">
        <f t="shared" si="153"/>
        <v>0</v>
      </c>
      <c r="J298" s="47">
        <f t="shared" si="153"/>
        <v>0</v>
      </c>
      <c r="K298" s="52">
        <f t="shared" si="135"/>
        <v>24.023150000000001</v>
      </c>
      <c r="L298" s="52"/>
      <c r="M298" s="50"/>
      <c r="N298" s="51"/>
      <c r="O298" s="49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9"/>
    </row>
    <row r="299" spans="1:57" s="90" customFormat="1" x14ac:dyDescent="0.2">
      <c r="A299" s="751"/>
      <c r="B299" s="721"/>
      <c r="C299" s="701"/>
      <c r="D299" s="46">
        <v>2029</v>
      </c>
      <c r="E299" s="47">
        <f>E340+E357</f>
        <v>110.02408</v>
      </c>
      <c r="F299" s="47">
        <f>F340+F357</f>
        <v>110.02408</v>
      </c>
      <c r="G299" s="47">
        <f>G340+G357</f>
        <v>0</v>
      </c>
      <c r="H299" s="47">
        <f t="shared" si="153"/>
        <v>0</v>
      </c>
      <c r="I299" s="47">
        <f t="shared" si="153"/>
        <v>0</v>
      </c>
      <c r="J299" s="47">
        <f t="shared" si="153"/>
        <v>0</v>
      </c>
      <c r="K299" s="52">
        <f t="shared" si="135"/>
        <v>110.02408</v>
      </c>
      <c r="L299" s="52"/>
      <c r="M299" s="50"/>
      <c r="N299" s="51"/>
      <c r="O299" s="49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9"/>
    </row>
    <row r="300" spans="1:57" s="90" customFormat="1" x14ac:dyDescent="0.2">
      <c r="A300" s="751"/>
      <c r="B300" s="877"/>
      <c r="C300" s="701"/>
      <c r="D300" s="46">
        <v>2030</v>
      </c>
      <c r="E300" s="47">
        <f>E341+E358</f>
        <v>116.02504</v>
      </c>
      <c r="F300" s="47">
        <f>F341+F358</f>
        <v>116.02504</v>
      </c>
      <c r="G300" s="47">
        <f>G341+G358</f>
        <v>0</v>
      </c>
      <c r="H300" s="47">
        <f t="shared" si="153"/>
        <v>0</v>
      </c>
      <c r="I300" s="47">
        <f t="shared" si="153"/>
        <v>0</v>
      </c>
      <c r="J300" s="47">
        <f t="shared" si="153"/>
        <v>0</v>
      </c>
      <c r="K300" s="52">
        <f t="shared" si="135"/>
        <v>116.02504</v>
      </c>
      <c r="L300" s="52"/>
      <c r="M300" s="50"/>
      <c r="N300" s="51"/>
      <c r="O300" s="49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9"/>
    </row>
    <row r="301" spans="1:57" s="48" customFormat="1" ht="30" customHeight="1" x14ac:dyDescent="0.2">
      <c r="A301" s="697" t="s">
        <v>378</v>
      </c>
      <c r="B301" s="631" t="s">
        <v>435</v>
      </c>
      <c r="C301" s="631" t="s">
        <v>393</v>
      </c>
      <c r="D301" s="46" t="s">
        <v>198</v>
      </c>
      <c r="E301" s="560">
        <f>E302</f>
        <v>120</v>
      </c>
      <c r="F301" s="560">
        <f t="shared" ref="F301:J301" si="154">F302</f>
        <v>0</v>
      </c>
      <c r="G301" s="560">
        <f t="shared" si="154"/>
        <v>0</v>
      </c>
      <c r="H301" s="560">
        <f t="shared" si="154"/>
        <v>114</v>
      </c>
      <c r="I301" s="560">
        <f t="shared" si="154"/>
        <v>0</v>
      </c>
      <c r="J301" s="560">
        <f t="shared" si="154"/>
        <v>6</v>
      </c>
      <c r="K301" s="52">
        <f t="shared" si="135"/>
        <v>120</v>
      </c>
      <c r="L301" s="52"/>
      <c r="M301" s="50"/>
      <c r="N301" s="51"/>
      <c r="O301" s="746" t="s">
        <v>233</v>
      </c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6"/>
    </row>
    <row r="302" spans="1:57" s="48" customFormat="1" ht="36" customHeight="1" x14ac:dyDescent="0.2">
      <c r="A302" s="734"/>
      <c r="B302" s="702"/>
      <c r="C302" s="702"/>
      <c r="D302" s="46">
        <v>2023</v>
      </c>
      <c r="E302" s="567">
        <f>F302+G302+H302+I302+J302</f>
        <v>120</v>
      </c>
      <c r="F302" s="567">
        <v>0</v>
      </c>
      <c r="G302" s="567">
        <v>0</v>
      </c>
      <c r="H302" s="567">
        <v>114</v>
      </c>
      <c r="I302" s="567">
        <v>0</v>
      </c>
      <c r="J302" s="567">
        <v>6</v>
      </c>
      <c r="K302" s="52">
        <f t="shared" si="135"/>
        <v>120</v>
      </c>
      <c r="L302" s="212" t="s">
        <v>469</v>
      </c>
      <c r="M302" s="50"/>
      <c r="N302" s="213"/>
      <c r="O302" s="726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6"/>
    </row>
    <row r="303" spans="1:57" s="48" customFormat="1" ht="15.75" customHeight="1" x14ac:dyDescent="0.2">
      <c r="A303" s="697" t="s">
        <v>379</v>
      </c>
      <c r="B303" s="631" t="s">
        <v>425</v>
      </c>
      <c r="C303" s="631" t="s">
        <v>394</v>
      </c>
      <c r="D303" s="46" t="s">
        <v>198</v>
      </c>
      <c r="E303" s="47">
        <f>E304</f>
        <v>120</v>
      </c>
      <c r="F303" s="47">
        <f t="shared" ref="F303:J303" si="155">F304</f>
        <v>0</v>
      </c>
      <c r="G303" s="47">
        <f t="shared" si="155"/>
        <v>0</v>
      </c>
      <c r="H303" s="47">
        <f t="shared" si="155"/>
        <v>114</v>
      </c>
      <c r="I303" s="47">
        <f t="shared" si="155"/>
        <v>0</v>
      </c>
      <c r="J303" s="47">
        <f t="shared" si="155"/>
        <v>6</v>
      </c>
      <c r="K303" s="52">
        <f t="shared" si="135"/>
        <v>120</v>
      </c>
      <c r="L303" s="538" t="s">
        <v>470</v>
      </c>
      <c r="M303" s="50"/>
      <c r="N303" s="51"/>
      <c r="O303" s="746" t="s">
        <v>235</v>
      </c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6"/>
    </row>
    <row r="304" spans="1:57" s="48" customFormat="1" ht="36.75" customHeight="1" x14ac:dyDescent="0.2">
      <c r="A304" s="699"/>
      <c r="B304" s="632"/>
      <c r="C304" s="632"/>
      <c r="D304" s="46">
        <v>2021</v>
      </c>
      <c r="E304" s="567">
        <f>F304+G304+H304+I304+J304</f>
        <v>120</v>
      </c>
      <c r="F304" s="567">
        <v>0</v>
      </c>
      <c r="G304" s="567">
        <v>0</v>
      </c>
      <c r="H304" s="567">
        <v>114</v>
      </c>
      <c r="I304" s="567">
        <v>0</v>
      </c>
      <c r="J304" s="567">
        <v>6</v>
      </c>
      <c r="K304" s="52">
        <f t="shared" si="135"/>
        <v>120</v>
      </c>
      <c r="L304" s="475"/>
      <c r="M304" s="50"/>
      <c r="N304" s="63"/>
      <c r="O304" s="72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6"/>
    </row>
    <row r="305" spans="1:57" s="48" customFormat="1" x14ac:dyDescent="0.2">
      <c r="A305" s="697" t="s">
        <v>652</v>
      </c>
      <c r="B305" s="631" t="s">
        <v>404</v>
      </c>
      <c r="C305" s="631" t="s">
        <v>405</v>
      </c>
      <c r="D305" s="46" t="s">
        <v>198</v>
      </c>
      <c r="E305" s="47">
        <f>E306</f>
        <v>16.8</v>
      </c>
      <c r="F305" s="47">
        <f t="shared" ref="F305:J305" si="156">F306</f>
        <v>0</v>
      </c>
      <c r="G305" s="47">
        <f t="shared" si="156"/>
        <v>0</v>
      </c>
      <c r="H305" s="47">
        <f t="shared" si="156"/>
        <v>15.96</v>
      </c>
      <c r="I305" s="47">
        <f t="shared" si="156"/>
        <v>0</v>
      </c>
      <c r="J305" s="47">
        <f t="shared" si="156"/>
        <v>0.84</v>
      </c>
      <c r="K305" s="52">
        <f t="shared" si="135"/>
        <v>16.8</v>
      </c>
      <c r="L305" s="812"/>
      <c r="M305" s="50"/>
      <c r="N305" s="802"/>
      <c r="O305" s="72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6"/>
    </row>
    <row r="306" spans="1:57" s="48" customFormat="1" ht="26.25" customHeight="1" x14ac:dyDescent="0.2">
      <c r="A306" s="792"/>
      <c r="B306" s="702"/>
      <c r="C306" s="702"/>
      <c r="D306" s="46">
        <v>2023</v>
      </c>
      <c r="E306" s="567">
        <f>F306+G306+H306+I306+J306</f>
        <v>16.8</v>
      </c>
      <c r="F306" s="567">
        <v>0</v>
      </c>
      <c r="G306" s="567">
        <v>0</v>
      </c>
      <c r="H306" s="567">
        <v>15.96</v>
      </c>
      <c r="I306" s="567">
        <v>0</v>
      </c>
      <c r="J306" s="567">
        <v>0.84</v>
      </c>
      <c r="K306" s="52">
        <f t="shared" si="135"/>
        <v>16.8</v>
      </c>
      <c r="L306" s="813"/>
      <c r="M306" s="50"/>
      <c r="N306" s="803"/>
      <c r="O306" s="726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6"/>
    </row>
    <row r="307" spans="1:57" s="48" customFormat="1" x14ac:dyDescent="0.2">
      <c r="A307" s="697" t="s">
        <v>653</v>
      </c>
      <c r="B307" s="631" t="s">
        <v>407</v>
      </c>
      <c r="C307" s="631" t="s">
        <v>405</v>
      </c>
      <c r="D307" s="46" t="s">
        <v>198</v>
      </c>
      <c r="E307" s="47">
        <f>E308</f>
        <v>16.8</v>
      </c>
      <c r="F307" s="47">
        <f t="shared" ref="F307:J307" si="157">F308</f>
        <v>0</v>
      </c>
      <c r="G307" s="47">
        <f t="shared" si="157"/>
        <v>0</v>
      </c>
      <c r="H307" s="47">
        <f t="shared" si="157"/>
        <v>15.96</v>
      </c>
      <c r="I307" s="47">
        <f t="shared" si="157"/>
        <v>0</v>
      </c>
      <c r="J307" s="47">
        <f t="shared" si="157"/>
        <v>0.84</v>
      </c>
      <c r="K307" s="52">
        <f t="shared" si="135"/>
        <v>16.8</v>
      </c>
      <c r="L307" s="812"/>
      <c r="M307" s="50"/>
      <c r="N307" s="814"/>
      <c r="O307" s="862" t="s">
        <v>409</v>
      </c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6"/>
    </row>
    <row r="308" spans="1:57" s="48" customFormat="1" ht="25.5" customHeight="1" x14ac:dyDescent="0.2">
      <c r="A308" s="699"/>
      <c r="B308" s="702"/>
      <c r="C308" s="702"/>
      <c r="D308" s="470">
        <v>2024</v>
      </c>
      <c r="E308" s="567">
        <f>F308+G308+H308+I308+J308</f>
        <v>16.8</v>
      </c>
      <c r="F308" s="567">
        <v>0</v>
      </c>
      <c r="G308" s="567">
        <v>0</v>
      </c>
      <c r="H308" s="567">
        <v>15.96</v>
      </c>
      <c r="I308" s="567">
        <v>0</v>
      </c>
      <c r="J308" s="567">
        <v>0.84</v>
      </c>
      <c r="K308" s="52">
        <f t="shared" si="135"/>
        <v>16.8</v>
      </c>
      <c r="L308" s="813"/>
      <c r="M308" s="50"/>
      <c r="N308" s="815"/>
      <c r="O308" s="778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6"/>
    </row>
    <row r="309" spans="1:57" s="48" customFormat="1" x14ac:dyDescent="0.2">
      <c r="A309" s="697" t="s">
        <v>654</v>
      </c>
      <c r="B309" s="631" t="s">
        <v>411</v>
      </c>
      <c r="C309" s="631" t="s">
        <v>408</v>
      </c>
      <c r="D309" s="46" t="s">
        <v>198</v>
      </c>
      <c r="E309" s="47">
        <f>E310</f>
        <v>16.8</v>
      </c>
      <c r="F309" s="47">
        <f t="shared" ref="F309:J313" si="158">F310</f>
        <v>0</v>
      </c>
      <c r="G309" s="47">
        <f t="shared" si="158"/>
        <v>0</v>
      </c>
      <c r="H309" s="47">
        <f t="shared" si="158"/>
        <v>15.96</v>
      </c>
      <c r="I309" s="47">
        <f t="shared" si="158"/>
        <v>0</v>
      </c>
      <c r="J309" s="47">
        <f t="shared" si="158"/>
        <v>0.84</v>
      </c>
      <c r="K309" s="52">
        <f t="shared" si="135"/>
        <v>16.8</v>
      </c>
      <c r="L309" s="812"/>
      <c r="M309" s="50"/>
      <c r="N309" s="814"/>
      <c r="O309" s="862" t="s">
        <v>412</v>
      </c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6"/>
    </row>
    <row r="310" spans="1:57" s="48" customFormat="1" ht="23.25" customHeight="1" x14ac:dyDescent="0.2">
      <c r="A310" s="699"/>
      <c r="B310" s="632"/>
      <c r="C310" s="632"/>
      <c r="D310" s="470">
        <v>2020</v>
      </c>
      <c r="E310" s="567">
        <f>F310+G310+H310+I310+J310</f>
        <v>16.8</v>
      </c>
      <c r="F310" s="567">
        <v>0</v>
      </c>
      <c r="G310" s="567">
        <v>0</v>
      </c>
      <c r="H310" s="567">
        <v>15.96</v>
      </c>
      <c r="I310" s="567">
        <v>0</v>
      </c>
      <c r="J310" s="567">
        <v>0.84</v>
      </c>
      <c r="K310" s="52">
        <f t="shared" si="135"/>
        <v>16.8</v>
      </c>
      <c r="L310" s="813"/>
      <c r="M310" s="50"/>
      <c r="N310" s="815"/>
      <c r="O310" s="778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6"/>
    </row>
    <row r="311" spans="1:57" s="48" customFormat="1" x14ac:dyDescent="0.2">
      <c r="A311" s="665" t="s">
        <v>655</v>
      </c>
      <c r="B311" s="631" t="s">
        <v>583</v>
      </c>
      <c r="C311" s="631" t="s">
        <v>408</v>
      </c>
      <c r="D311" s="46" t="s">
        <v>198</v>
      </c>
      <c r="E311" s="47">
        <f>E312</f>
        <v>5</v>
      </c>
      <c r="F311" s="47">
        <f t="shared" si="158"/>
        <v>0</v>
      </c>
      <c r="G311" s="47">
        <f t="shared" si="158"/>
        <v>0</v>
      </c>
      <c r="H311" s="47">
        <f t="shared" si="158"/>
        <v>4.75</v>
      </c>
      <c r="I311" s="47">
        <f t="shared" si="158"/>
        <v>0</v>
      </c>
      <c r="J311" s="47">
        <f t="shared" si="158"/>
        <v>0.25</v>
      </c>
      <c r="K311" s="52">
        <f t="shared" si="135"/>
        <v>5</v>
      </c>
      <c r="L311" s="812"/>
      <c r="M311" s="50"/>
      <c r="N311" s="561"/>
      <c r="O311" s="638" t="s">
        <v>595</v>
      </c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6"/>
    </row>
    <row r="312" spans="1:57" s="48" customFormat="1" ht="21.75" customHeight="1" x14ac:dyDescent="0.2">
      <c r="A312" s="665"/>
      <c r="B312" s="632"/>
      <c r="C312" s="632"/>
      <c r="D312" s="46">
        <v>2022</v>
      </c>
      <c r="E312" s="567">
        <f>F312+G312+H312+I312+J312</f>
        <v>5</v>
      </c>
      <c r="F312" s="567">
        <v>0</v>
      </c>
      <c r="G312" s="567">
        <v>0</v>
      </c>
      <c r="H312" s="567">
        <v>4.75</v>
      </c>
      <c r="I312" s="567">
        <v>0</v>
      </c>
      <c r="J312" s="567">
        <v>0.25</v>
      </c>
      <c r="K312" s="52">
        <f t="shared" si="135"/>
        <v>5</v>
      </c>
      <c r="L312" s="813"/>
      <c r="M312" s="50"/>
      <c r="N312" s="561"/>
      <c r="O312" s="639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6"/>
    </row>
    <row r="313" spans="1:57" s="48" customFormat="1" x14ac:dyDescent="0.2">
      <c r="A313" s="665" t="s">
        <v>656</v>
      </c>
      <c r="B313" s="631" t="s">
        <v>584</v>
      </c>
      <c r="C313" s="631" t="s">
        <v>408</v>
      </c>
      <c r="D313" s="46" t="s">
        <v>198</v>
      </c>
      <c r="E313" s="47">
        <f>E314</f>
        <v>3</v>
      </c>
      <c r="F313" s="47">
        <f t="shared" si="158"/>
        <v>0</v>
      </c>
      <c r="G313" s="47">
        <f t="shared" si="158"/>
        <v>0</v>
      </c>
      <c r="H313" s="47">
        <f t="shared" si="158"/>
        <v>2.85</v>
      </c>
      <c r="I313" s="47">
        <f t="shared" si="158"/>
        <v>0</v>
      </c>
      <c r="J313" s="47">
        <f t="shared" si="158"/>
        <v>0.15</v>
      </c>
      <c r="K313" s="52">
        <f t="shared" si="135"/>
        <v>3</v>
      </c>
      <c r="L313" s="812"/>
      <c r="M313" s="50"/>
      <c r="N313" s="561"/>
      <c r="O313" s="639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6"/>
    </row>
    <row r="314" spans="1:57" s="48" customFormat="1" x14ac:dyDescent="0.2">
      <c r="A314" s="665"/>
      <c r="B314" s="632"/>
      <c r="C314" s="632"/>
      <c r="D314" s="46">
        <v>2024</v>
      </c>
      <c r="E314" s="567">
        <f>F314+G314+H314+I314+J314</f>
        <v>3</v>
      </c>
      <c r="F314" s="567">
        <v>0</v>
      </c>
      <c r="G314" s="567">
        <v>0</v>
      </c>
      <c r="H314" s="567">
        <v>2.85</v>
      </c>
      <c r="I314" s="567">
        <v>0</v>
      </c>
      <c r="J314" s="567">
        <v>0.15</v>
      </c>
      <c r="K314" s="52">
        <f t="shared" si="135"/>
        <v>3</v>
      </c>
      <c r="L314" s="813"/>
      <c r="M314" s="50"/>
      <c r="N314" s="561"/>
      <c r="O314" s="640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6"/>
    </row>
    <row r="315" spans="1:57" s="48" customFormat="1" x14ac:dyDescent="0.2">
      <c r="A315" s="697" t="s">
        <v>657</v>
      </c>
      <c r="B315" s="631" t="s">
        <v>413</v>
      </c>
      <c r="C315" s="631" t="s">
        <v>408</v>
      </c>
      <c r="D315" s="46" t="s">
        <v>198</v>
      </c>
      <c r="E315" s="47">
        <f>E316</f>
        <v>5</v>
      </c>
      <c r="F315" s="47">
        <f t="shared" ref="F315:J315" si="159">F316</f>
        <v>0</v>
      </c>
      <c r="G315" s="47">
        <f t="shared" si="159"/>
        <v>0</v>
      </c>
      <c r="H315" s="47">
        <f t="shared" si="159"/>
        <v>4.75</v>
      </c>
      <c r="I315" s="47">
        <f t="shared" si="159"/>
        <v>0</v>
      </c>
      <c r="J315" s="47">
        <f t="shared" si="159"/>
        <v>0.25</v>
      </c>
      <c r="K315" s="52">
        <f t="shared" si="135"/>
        <v>5</v>
      </c>
      <c r="L315" s="852"/>
      <c r="M315" s="50"/>
      <c r="N315" s="814"/>
      <c r="O315" s="862" t="s">
        <v>414</v>
      </c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6"/>
    </row>
    <row r="316" spans="1:57" s="48" customFormat="1" x14ac:dyDescent="0.2">
      <c r="A316" s="699"/>
      <c r="B316" s="632"/>
      <c r="C316" s="632"/>
      <c r="D316" s="470">
        <v>2025</v>
      </c>
      <c r="E316" s="567">
        <f>F316+G316+H316+I316+J316</f>
        <v>5</v>
      </c>
      <c r="F316" s="567">
        <v>0</v>
      </c>
      <c r="G316" s="567">
        <v>0</v>
      </c>
      <c r="H316" s="567">
        <v>4.75</v>
      </c>
      <c r="I316" s="567">
        <v>0</v>
      </c>
      <c r="J316" s="567">
        <v>0.25</v>
      </c>
      <c r="K316" s="52">
        <f t="shared" si="135"/>
        <v>5</v>
      </c>
      <c r="L316" s="853"/>
      <c r="M316" s="50"/>
      <c r="N316" s="815"/>
      <c r="O316" s="778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6"/>
    </row>
    <row r="317" spans="1:57" s="48" customFormat="1" ht="27.75" customHeight="1" x14ac:dyDescent="0.2">
      <c r="A317" s="697" t="s">
        <v>658</v>
      </c>
      <c r="B317" s="705" t="s">
        <v>589</v>
      </c>
      <c r="D317" s="46" t="s">
        <v>198</v>
      </c>
      <c r="E317" s="47">
        <f>E318</f>
        <v>0.58674999999999999</v>
      </c>
      <c r="F317" s="47">
        <f t="shared" ref="F317:J317" si="160">F318</f>
        <v>5.8500000000000002E-3</v>
      </c>
      <c r="G317" s="47">
        <f t="shared" si="160"/>
        <v>0</v>
      </c>
      <c r="H317" s="47">
        <f t="shared" si="160"/>
        <v>0.58089999999999997</v>
      </c>
      <c r="I317" s="47">
        <f t="shared" si="160"/>
        <v>0</v>
      </c>
      <c r="J317" s="47">
        <f t="shared" si="160"/>
        <v>0</v>
      </c>
      <c r="K317" s="52">
        <f t="shared" si="135"/>
        <v>0.58674999999999999</v>
      </c>
      <c r="L317" s="806"/>
      <c r="M317" s="50"/>
      <c r="N317" s="814"/>
      <c r="O317" s="862" t="s">
        <v>852</v>
      </c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6"/>
    </row>
    <row r="318" spans="1:57" s="48" customFormat="1" ht="24" customHeight="1" x14ac:dyDescent="0.2">
      <c r="A318" s="698"/>
      <c r="B318" s="706"/>
      <c r="C318" s="478" t="s">
        <v>415</v>
      </c>
      <c r="D318" s="470">
        <v>2019</v>
      </c>
      <c r="E318" s="567">
        <f>F318+G318+H318+I318+J318</f>
        <v>0.58674999999999999</v>
      </c>
      <c r="F318" s="567">
        <v>5.8500000000000002E-3</v>
      </c>
      <c r="G318" s="567">
        <v>0</v>
      </c>
      <c r="H318" s="567">
        <v>0.58089999999999997</v>
      </c>
      <c r="I318" s="567">
        <v>0</v>
      </c>
      <c r="J318" s="567">
        <v>0</v>
      </c>
      <c r="K318" s="52">
        <f t="shared" si="135"/>
        <v>0.58674999999999999</v>
      </c>
      <c r="L318" s="830"/>
      <c r="M318" s="50"/>
      <c r="N318" s="872"/>
      <c r="O318" s="72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6"/>
    </row>
    <row r="319" spans="1:57" s="48" customFormat="1" ht="30" customHeight="1" x14ac:dyDescent="0.2">
      <c r="A319" s="699"/>
      <c r="B319" s="730"/>
      <c r="C319" s="490" t="s">
        <v>892</v>
      </c>
      <c r="D319" s="470">
        <v>2024</v>
      </c>
      <c r="E319" s="567">
        <f>F319+G319+H319+I319+J319</f>
        <v>0</v>
      </c>
      <c r="F319" s="567">
        <v>0</v>
      </c>
      <c r="G319" s="567">
        <v>0</v>
      </c>
      <c r="H319" s="567">
        <v>0</v>
      </c>
      <c r="I319" s="567">
        <v>0</v>
      </c>
      <c r="J319" s="567">
        <v>0</v>
      </c>
      <c r="K319" s="52">
        <f t="shared" si="135"/>
        <v>0</v>
      </c>
      <c r="L319" s="830"/>
      <c r="M319" s="50"/>
      <c r="N319" s="872"/>
      <c r="O319" s="72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6"/>
    </row>
    <row r="320" spans="1:57" s="48" customFormat="1" ht="12.75" customHeight="1" x14ac:dyDescent="0.2">
      <c r="A320" s="697" t="s">
        <v>659</v>
      </c>
      <c r="B320" s="631" t="s">
        <v>590</v>
      </c>
      <c r="C320" s="478"/>
      <c r="D320" s="46" t="s">
        <v>513</v>
      </c>
      <c r="E320" s="47">
        <f>E321</f>
        <v>0</v>
      </c>
      <c r="F320" s="47">
        <f t="shared" ref="F320:J320" si="161">F321</f>
        <v>0</v>
      </c>
      <c r="G320" s="47">
        <f t="shared" si="161"/>
        <v>0</v>
      </c>
      <c r="H320" s="47">
        <f t="shared" si="161"/>
        <v>0</v>
      </c>
      <c r="I320" s="47">
        <f t="shared" si="161"/>
        <v>0</v>
      </c>
      <c r="J320" s="47">
        <f t="shared" si="161"/>
        <v>0</v>
      </c>
      <c r="K320" s="52">
        <f t="shared" si="135"/>
        <v>0</v>
      </c>
      <c r="L320" s="830"/>
      <c r="M320" s="50"/>
      <c r="N320" s="872"/>
      <c r="O320" s="72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6"/>
    </row>
    <row r="321" spans="1:57" s="48" customFormat="1" ht="21.75" customHeight="1" x14ac:dyDescent="0.2">
      <c r="A321" s="698"/>
      <c r="B321" s="648"/>
      <c r="C321" s="638" t="s">
        <v>892</v>
      </c>
      <c r="D321" s="470">
        <v>2022</v>
      </c>
      <c r="E321" s="567">
        <v>0</v>
      </c>
      <c r="F321" s="567">
        <v>0</v>
      </c>
      <c r="G321" s="567">
        <v>0</v>
      </c>
      <c r="H321" s="567">
        <v>0</v>
      </c>
      <c r="I321" s="567">
        <v>0</v>
      </c>
      <c r="J321" s="567">
        <v>0</v>
      </c>
      <c r="K321" s="52">
        <f t="shared" si="135"/>
        <v>0</v>
      </c>
      <c r="L321" s="830"/>
      <c r="M321" s="50"/>
      <c r="N321" s="872"/>
      <c r="O321" s="72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6"/>
    </row>
    <row r="322" spans="1:57" s="48" customFormat="1" ht="23.25" customHeight="1" x14ac:dyDescent="0.2">
      <c r="A322" s="699"/>
      <c r="B322" s="632"/>
      <c r="C322" s="640"/>
      <c r="D322" s="470">
        <v>2023</v>
      </c>
      <c r="E322" s="567">
        <v>0</v>
      </c>
      <c r="F322" s="567">
        <v>0</v>
      </c>
      <c r="G322" s="567">
        <v>0</v>
      </c>
      <c r="H322" s="567">
        <v>0</v>
      </c>
      <c r="I322" s="567">
        <v>0</v>
      </c>
      <c r="J322" s="567">
        <v>0</v>
      </c>
      <c r="K322" s="52">
        <f t="shared" si="135"/>
        <v>0</v>
      </c>
      <c r="L322" s="215"/>
      <c r="M322" s="50"/>
      <c r="N322" s="216"/>
      <c r="O322" s="512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6"/>
    </row>
    <row r="323" spans="1:57" s="48" customFormat="1" x14ac:dyDescent="0.2">
      <c r="A323" s="697" t="s">
        <v>660</v>
      </c>
      <c r="B323" s="638" t="s">
        <v>1054</v>
      </c>
      <c r="C323" s="638" t="s">
        <v>892</v>
      </c>
      <c r="D323" s="46" t="s">
        <v>513</v>
      </c>
      <c r="E323" s="567">
        <f>F323+G323+H323+I323+J323</f>
        <v>0.95000000000000007</v>
      </c>
      <c r="F323" s="567">
        <f>F324</f>
        <v>8.9999999999999998E-4</v>
      </c>
      <c r="G323" s="567">
        <v>0</v>
      </c>
      <c r="H323" s="567">
        <v>0.94910000000000005</v>
      </c>
      <c r="I323" s="567">
        <v>0</v>
      </c>
      <c r="J323" s="567">
        <v>0</v>
      </c>
      <c r="K323" s="52">
        <f t="shared" si="135"/>
        <v>0.95000000000000007</v>
      </c>
      <c r="L323" s="215"/>
      <c r="M323" s="50"/>
      <c r="N323" s="216"/>
      <c r="O323" s="512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6"/>
    </row>
    <row r="324" spans="1:57" s="48" customFormat="1" ht="84.75" customHeight="1" x14ac:dyDescent="0.2">
      <c r="A324" s="699"/>
      <c r="B324" s="640"/>
      <c r="C324" s="640"/>
      <c r="D324" s="470">
        <v>2020</v>
      </c>
      <c r="E324" s="567">
        <f>F324+G324+H324+I324+J324</f>
        <v>0.95000000000000007</v>
      </c>
      <c r="F324" s="567">
        <v>8.9999999999999998E-4</v>
      </c>
      <c r="G324" s="567">
        <f t="shared" ref="G324:J324" si="162">G323</f>
        <v>0</v>
      </c>
      <c r="H324" s="567">
        <f t="shared" si="162"/>
        <v>0.94910000000000005</v>
      </c>
      <c r="I324" s="567">
        <f t="shared" si="162"/>
        <v>0</v>
      </c>
      <c r="J324" s="567">
        <f t="shared" si="162"/>
        <v>0</v>
      </c>
      <c r="K324" s="52">
        <f t="shared" si="135"/>
        <v>0.95000000000000007</v>
      </c>
      <c r="L324" s="215"/>
      <c r="M324" s="50"/>
      <c r="N324" s="216"/>
      <c r="O324" s="512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6"/>
    </row>
    <row r="325" spans="1:57" s="48" customFormat="1" ht="12.75" customHeight="1" x14ac:dyDescent="0.2">
      <c r="A325" s="496"/>
      <c r="B325" s="638" t="s">
        <v>1055</v>
      </c>
      <c r="C325" s="486"/>
      <c r="D325" s="46" t="s">
        <v>513</v>
      </c>
      <c r="E325" s="567">
        <f>E327+E328+E329+E326</f>
        <v>0.67013</v>
      </c>
      <c r="F325" s="567">
        <f>F327+F328+F329+F326</f>
        <v>8.7029999999999996E-2</v>
      </c>
      <c r="G325" s="567">
        <f t="shared" ref="G325:J325" si="163">G327+G328+G329+G326</f>
        <v>3.39E-2</v>
      </c>
      <c r="H325" s="567">
        <f t="shared" si="163"/>
        <v>0.54920000000000002</v>
      </c>
      <c r="I325" s="567">
        <f t="shared" si="163"/>
        <v>0</v>
      </c>
      <c r="J325" s="567">
        <f t="shared" si="163"/>
        <v>0</v>
      </c>
      <c r="K325" s="52">
        <f t="shared" si="135"/>
        <v>0.67013</v>
      </c>
      <c r="L325" s="215"/>
      <c r="M325" s="50"/>
      <c r="N325" s="216"/>
      <c r="O325" s="512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6"/>
    </row>
    <row r="326" spans="1:57" s="48" customFormat="1" ht="12.75" customHeight="1" x14ac:dyDescent="0.2">
      <c r="A326" s="496"/>
      <c r="B326" s="639"/>
      <c r="C326" s="478" t="s">
        <v>415</v>
      </c>
      <c r="D326" s="470">
        <v>2019</v>
      </c>
      <c r="E326" s="567">
        <f>F326+G326+H326+I326+J326</f>
        <v>0.35563</v>
      </c>
      <c r="F326" s="567">
        <v>4.623E-2</v>
      </c>
      <c r="G326" s="567">
        <v>3.39E-2</v>
      </c>
      <c r="H326" s="567">
        <v>0.27550000000000002</v>
      </c>
      <c r="I326" s="567">
        <v>0</v>
      </c>
      <c r="J326" s="567">
        <v>0</v>
      </c>
      <c r="K326" s="52">
        <f t="shared" si="135"/>
        <v>0.35563</v>
      </c>
      <c r="L326" s="215"/>
      <c r="M326" s="50"/>
      <c r="N326" s="216"/>
      <c r="O326" s="512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6"/>
    </row>
    <row r="327" spans="1:57" s="48" customFormat="1" ht="25.5" customHeight="1" x14ac:dyDescent="0.2">
      <c r="A327" s="496" t="s">
        <v>661</v>
      </c>
      <c r="B327" s="639"/>
      <c r="C327" s="681" t="s">
        <v>892</v>
      </c>
      <c r="D327" s="470">
        <v>2020</v>
      </c>
      <c r="E327" s="567">
        <f t="shared" ref="E327:E329" si="164">F327+G327+H327+I327+J327</f>
        <v>7.8700000000000006E-2</v>
      </c>
      <c r="F327" s="567">
        <v>1.0200000000000001E-2</v>
      </c>
      <c r="G327" s="567">
        <v>0</v>
      </c>
      <c r="H327" s="567">
        <v>6.8500000000000005E-2</v>
      </c>
      <c r="I327" s="567">
        <v>0</v>
      </c>
      <c r="J327" s="567">
        <v>0</v>
      </c>
      <c r="K327" s="52">
        <f t="shared" si="135"/>
        <v>7.8700000000000006E-2</v>
      </c>
      <c r="L327" s="215"/>
      <c r="M327" s="50"/>
      <c r="N327" s="216"/>
      <c r="O327" s="512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6"/>
    </row>
    <row r="328" spans="1:57" s="48" customFormat="1" x14ac:dyDescent="0.2">
      <c r="A328" s="496"/>
      <c r="B328" s="639"/>
      <c r="C328" s="681"/>
      <c r="D328" s="470">
        <v>2021</v>
      </c>
      <c r="E328" s="567">
        <f>F328+G328+H328+I328+J328</f>
        <v>0.11789999999999999</v>
      </c>
      <c r="F328" s="567">
        <v>1.5299999999999999E-2</v>
      </c>
      <c r="G328" s="567">
        <v>0</v>
      </c>
      <c r="H328" s="567">
        <v>0.1026</v>
      </c>
      <c r="I328" s="567">
        <v>0</v>
      </c>
      <c r="J328" s="567">
        <v>0</v>
      </c>
      <c r="K328" s="52">
        <f t="shared" si="135"/>
        <v>0.11789999999999999</v>
      </c>
      <c r="L328" s="215"/>
      <c r="M328" s="50"/>
      <c r="N328" s="216"/>
      <c r="O328" s="512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6"/>
    </row>
    <row r="329" spans="1:57" s="48" customFormat="1" x14ac:dyDescent="0.2">
      <c r="A329" s="496"/>
      <c r="B329" s="640"/>
      <c r="C329" s="681"/>
      <c r="D329" s="470">
        <v>2022</v>
      </c>
      <c r="E329" s="567">
        <f t="shared" si="164"/>
        <v>0.11789999999999999</v>
      </c>
      <c r="F329" s="567">
        <v>1.5299999999999999E-2</v>
      </c>
      <c r="G329" s="567">
        <v>0</v>
      </c>
      <c r="H329" s="567">
        <v>0.1026</v>
      </c>
      <c r="I329" s="567">
        <v>0</v>
      </c>
      <c r="J329" s="567">
        <v>0</v>
      </c>
      <c r="K329" s="52">
        <f t="shared" ref="K329:K392" si="165">F329+G329+H329+I329+J329</f>
        <v>0.11789999999999999</v>
      </c>
      <c r="L329" s="215"/>
      <c r="M329" s="50"/>
      <c r="N329" s="216"/>
      <c r="O329" s="512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6"/>
    </row>
    <row r="330" spans="1:57" s="48" customFormat="1" ht="12.75" customHeight="1" x14ac:dyDescent="0.2">
      <c r="A330" s="703" t="s">
        <v>662</v>
      </c>
      <c r="B330" s="705" t="s">
        <v>1060</v>
      </c>
      <c r="C330" s="638" t="s">
        <v>892</v>
      </c>
      <c r="D330" s="46" t="s">
        <v>198</v>
      </c>
      <c r="E330" s="47">
        <f>E331+E332+E333+E334+E335+E336+E337+E338+E339+E340+E341</f>
        <v>0.86257000000000006</v>
      </c>
      <c r="F330" s="47">
        <f>F331+F332+F333+F334+F335+F336+F337+F338+F339+F340+F341</f>
        <v>0.86257000000000006</v>
      </c>
      <c r="G330" s="47">
        <f t="shared" ref="G330:J330" si="166">G331+G332+G333+G334+G335+G336+G337+G338+G339+G340+G341</f>
        <v>0</v>
      </c>
      <c r="H330" s="47">
        <f>H331+H332+H333+H334+H335+H336+H337+H338+H339+H340+H341</f>
        <v>0</v>
      </c>
      <c r="I330" s="47">
        <f t="shared" si="166"/>
        <v>0</v>
      </c>
      <c r="J330" s="47">
        <f t="shared" si="166"/>
        <v>0</v>
      </c>
      <c r="K330" s="52">
        <f t="shared" si="165"/>
        <v>0.86257000000000006</v>
      </c>
      <c r="L330" s="52"/>
      <c r="M330" s="50"/>
      <c r="N330" s="56"/>
      <c r="O330" s="631" t="s">
        <v>230</v>
      </c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6"/>
    </row>
    <row r="331" spans="1:57" s="48" customFormat="1" ht="12.75" customHeight="1" x14ac:dyDescent="0.2">
      <c r="A331" s="704"/>
      <c r="B331" s="706"/>
      <c r="C331" s="639"/>
      <c r="D331" s="470">
        <v>2020</v>
      </c>
      <c r="E331" s="567">
        <f>F331+G331+H331+I331+J331</f>
        <v>0.21859999999999999</v>
      </c>
      <c r="F331" s="567">
        <v>0.21859999999999999</v>
      </c>
      <c r="G331" s="567">
        <v>0</v>
      </c>
      <c r="H331" s="567">
        <v>0</v>
      </c>
      <c r="I331" s="567">
        <v>0</v>
      </c>
      <c r="J331" s="567">
        <v>0</v>
      </c>
      <c r="K331" s="52">
        <f t="shared" si="165"/>
        <v>0.21859999999999999</v>
      </c>
      <c r="L331" s="52"/>
      <c r="M331" s="50"/>
      <c r="N331" s="56"/>
      <c r="O331" s="701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6"/>
    </row>
    <row r="332" spans="1:57" s="48" customFormat="1" ht="12.75" customHeight="1" x14ac:dyDescent="0.2">
      <c r="A332" s="704"/>
      <c r="B332" s="706"/>
      <c r="C332" s="639"/>
      <c r="D332" s="470">
        <v>2021</v>
      </c>
      <c r="E332" s="567">
        <f>F332+G332+H332+I332+J332</f>
        <v>0.2298</v>
      </c>
      <c r="F332" s="567">
        <v>0.2298</v>
      </c>
      <c r="G332" s="567">
        <v>0</v>
      </c>
      <c r="H332" s="567">
        <v>0</v>
      </c>
      <c r="I332" s="567">
        <v>0</v>
      </c>
      <c r="J332" s="567">
        <v>0</v>
      </c>
      <c r="K332" s="52">
        <f t="shared" si="165"/>
        <v>0.2298</v>
      </c>
      <c r="L332" s="52"/>
      <c r="M332" s="50"/>
      <c r="N332" s="56"/>
      <c r="O332" s="701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6"/>
    </row>
    <row r="333" spans="1:57" s="48" customFormat="1" ht="12.75" customHeight="1" x14ac:dyDescent="0.2">
      <c r="A333" s="704"/>
      <c r="B333" s="706"/>
      <c r="C333" s="639"/>
      <c r="D333" s="470">
        <v>2022</v>
      </c>
      <c r="E333" s="567">
        <f>F333+G333+H333+I333+J333</f>
        <v>0.23649999999999999</v>
      </c>
      <c r="F333" s="567">
        <v>0.23649999999999999</v>
      </c>
      <c r="G333" s="567">
        <f>G331</f>
        <v>0</v>
      </c>
      <c r="H333" s="567">
        <v>0</v>
      </c>
      <c r="I333" s="47">
        <f>I331</f>
        <v>0</v>
      </c>
      <c r="J333" s="47">
        <f>J331</f>
        <v>0</v>
      </c>
      <c r="K333" s="52">
        <f t="shared" si="165"/>
        <v>0.23649999999999999</v>
      </c>
      <c r="L333" s="52"/>
      <c r="M333" s="50"/>
      <c r="N333" s="56"/>
      <c r="O333" s="701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6"/>
    </row>
    <row r="334" spans="1:57" s="48" customFormat="1" ht="12.75" customHeight="1" x14ac:dyDescent="0.2">
      <c r="A334" s="704"/>
      <c r="B334" s="706"/>
      <c r="C334" s="639"/>
      <c r="D334" s="470">
        <v>2023</v>
      </c>
      <c r="E334" s="567">
        <f t="shared" ref="E334:E343" si="167">F334+G334+H334+I334+J334</f>
        <v>2.0580000000000001E-2</v>
      </c>
      <c r="F334" s="567">
        <v>2.0580000000000001E-2</v>
      </c>
      <c r="G334" s="567">
        <v>0</v>
      </c>
      <c r="H334" s="567">
        <v>0</v>
      </c>
      <c r="I334" s="567">
        <v>0</v>
      </c>
      <c r="J334" s="567">
        <v>0</v>
      </c>
      <c r="K334" s="52">
        <f t="shared" si="165"/>
        <v>2.0580000000000001E-2</v>
      </c>
      <c r="L334" s="217"/>
      <c r="M334" s="50"/>
      <c r="N334" s="57"/>
      <c r="O334" s="701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6"/>
    </row>
    <row r="335" spans="1:57" s="48" customFormat="1" ht="12.75" customHeight="1" x14ac:dyDescent="0.2">
      <c r="A335" s="704"/>
      <c r="B335" s="706"/>
      <c r="C335" s="639"/>
      <c r="D335" s="470">
        <v>2024</v>
      </c>
      <c r="E335" s="567">
        <f t="shared" si="167"/>
        <v>2.0580000000000001E-2</v>
      </c>
      <c r="F335" s="567">
        <v>2.0580000000000001E-2</v>
      </c>
      <c r="G335" s="567">
        <v>0</v>
      </c>
      <c r="H335" s="567">
        <v>0</v>
      </c>
      <c r="I335" s="567">
        <v>0</v>
      </c>
      <c r="J335" s="567">
        <v>0</v>
      </c>
      <c r="K335" s="52">
        <f t="shared" si="165"/>
        <v>2.0580000000000001E-2</v>
      </c>
      <c r="L335" s="217"/>
      <c r="M335" s="50"/>
      <c r="N335" s="57"/>
      <c r="O335" s="701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6"/>
    </row>
    <row r="336" spans="1:57" s="48" customFormat="1" ht="12.75" customHeight="1" x14ac:dyDescent="0.2">
      <c r="A336" s="704"/>
      <c r="B336" s="706"/>
      <c r="C336" s="640"/>
      <c r="D336" s="470">
        <v>2025</v>
      </c>
      <c r="E336" s="567">
        <f t="shared" si="167"/>
        <v>2.0580000000000001E-2</v>
      </c>
      <c r="F336" s="567">
        <v>2.0580000000000001E-2</v>
      </c>
      <c r="G336" s="567">
        <v>0</v>
      </c>
      <c r="H336" s="567">
        <v>0</v>
      </c>
      <c r="I336" s="567">
        <v>0</v>
      </c>
      <c r="J336" s="567">
        <v>0</v>
      </c>
      <c r="K336" s="52">
        <f t="shared" si="165"/>
        <v>2.0580000000000001E-2</v>
      </c>
      <c r="L336" s="217"/>
      <c r="M336" s="50"/>
      <c r="N336" s="57"/>
      <c r="O336" s="701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6"/>
    </row>
    <row r="337" spans="1:57" s="48" customFormat="1" ht="14.25" customHeight="1" x14ac:dyDescent="0.2">
      <c r="A337" s="704"/>
      <c r="B337" s="706"/>
      <c r="C337" s="678" t="s">
        <v>728</v>
      </c>
      <c r="D337" s="470">
        <v>2026</v>
      </c>
      <c r="E337" s="567">
        <f t="shared" si="167"/>
        <v>2.1399999999999999E-2</v>
      </c>
      <c r="F337" s="567">
        <v>2.1399999999999999E-2</v>
      </c>
      <c r="G337" s="567">
        <v>0</v>
      </c>
      <c r="H337" s="567">
        <v>0</v>
      </c>
      <c r="I337" s="567">
        <v>0</v>
      </c>
      <c r="J337" s="567">
        <v>0</v>
      </c>
      <c r="K337" s="52">
        <f t="shared" si="165"/>
        <v>2.1399999999999999E-2</v>
      </c>
      <c r="L337" s="217"/>
      <c r="M337" s="50"/>
      <c r="N337" s="57"/>
      <c r="O337" s="701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6"/>
    </row>
    <row r="338" spans="1:57" s="48" customFormat="1" ht="12.75" customHeight="1" x14ac:dyDescent="0.2">
      <c r="A338" s="704"/>
      <c r="B338" s="706"/>
      <c r="C338" s="678"/>
      <c r="D338" s="470">
        <v>2027</v>
      </c>
      <c r="E338" s="567">
        <f t="shared" si="167"/>
        <v>2.2259999999999999E-2</v>
      </c>
      <c r="F338" s="567">
        <v>2.2259999999999999E-2</v>
      </c>
      <c r="G338" s="567">
        <v>0</v>
      </c>
      <c r="H338" s="567">
        <v>0</v>
      </c>
      <c r="I338" s="567">
        <v>0</v>
      </c>
      <c r="J338" s="567">
        <v>0</v>
      </c>
      <c r="K338" s="52">
        <f t="shared" si="165"/>
        <v>2.2259999999999999E-2</v>
      </c>
      <c r="L338" s="217"/>
      <c r="M338" s="50"/>
      <c r="N338" s="57"/>
      <c r="O338" s="701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6"/>
    </row>
    <row r="339" spans="1:57" s="48" customFormat="1" ht="12.75" customHeight="1" x14ac:dyDescent="0.2">
      <c r="A339" s="704"/>
      <c r="B339" s="735"/>
      <c r="C339" s="678"/>
      <c r="D339" s="470">
        <v>2028</v>
      </c>
      <c r="E339" s="567">
        <f t="shared" si="167"/>
        <v>2.315E-2</v>
      </c>
      <c r="F339" s="567">
        <v>2.315E-2</v>
      </c>
      <c r="G339" s="567">
        <v>0</v>
      </c>
      <c r="H339" s="567">
        <v>0</v>
      </c>
      <c r="I339" s="567">
        <v>0</v>
      </c>
      <c r="J339" s="567">
        <v>0</v>
      </c>
      <c r="K339" s="52">
        <f t="shared" si="165"/>
        <v>2.315E-2</v>
      </c>
      <c r="L339" s="217"/>
      <c r="M339" s="50"/>
      <c r="N339" s="57"/>
      <c r="O339" s="701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6"/>
    </row>
    <row r="340" spans="1:57" s="48" customFormat="1" x14ac:dyDescent="0.2">
      <c r="A340" s="704"/>
      <c r="B340" s="735"/>
      <c r="C340" s="678"/>
      <c r="D340" s="470">
        <v>2029</v>
      </c>
      <c r="E340" s="567">
        <f t="shared" si="167"/>
        <v>2.4080000000000001E-2</v>
      </c>
      <c r="F340" s="567">
        <v>2.4080000000000001E-2</v>
      </c>
      <c r="G340" s="567">
        <v>0</v>
      </c>
      <c r="H340" s="567">
        <v>0</v>
      </c>
      <c r="I340" s="567">
        <v>0</v>
      </c>
      <c r="J340" s="567">
        <v>0</v>
      </c>
      <c r="K340" s="52">
        <f t="shared" si="165"/>
        <v>2.4080000000000001E-2</v>
      </c>
      <c r="L340" s="217"/>
      <c r="M340" s="50"/>
      <c r="N340" s="57"/>
      <c r="O340" s="701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6"/>
    </row>
    <row r="341" spans="1:57" s="48" customFormat="1" x14ac:dyDescent="0.2">
      <c r="A341" s="871"/>
      <c r="B341" s="770"/>
      <c r="C341" s="678"/>
      <c r="D341" s="470">
        <v>2030</v>
      </c>
      <c r="E341" s="567">
        <f t="shared" si="167"/>
        <v>2.504E-2</v>
      </c>
      <c r="F341" s="567">
        <v>2.504E-2</v>
      </c>
      <c r="G341" s="567">
        <v>0</v>
      </c>
      <c r="H341" s="567">
        <v>0</v>
      </c>
      <c r="I341" s="567">
        <v>0</v>
      </c>
      <c r="J341" s="567">
        <v>0</v>
      </c>
      <c r="K341" s="52">
        <f t="shared" si="165"/>
        <v>2.504E-2</v>
      </c>
      <c r="L341" s="217"/>
      <c r="M341" s="50"/>
      <c r="N341" s="57"/>
      <c r="O341" s="702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6"/>
    </row>
    <row r="342" spans="1:57" s="48" customFormat="1" x14ac:dyDescent="0.2">
      <c r="A342" s="501"/>
      <c r="B342" s="638" t="s">
        <v>1053</v>
      </c>
      <c r="C342" s="638" t="s">
        <v>892</v>
      </c>
      <c r="D342" s="46" t="s">
        <v>513</v>
      </c>
      <c r="E342" s="567">
        <f>E343</f>
        <v>7.3220000000000001</v>
      </c>
      <c r="F342" s="567">
        <f t="shared" ref="F342:J342" si="168">F343</f>
        <v>0.95199999999999996</v>
      </c>
      <c r="G342" s="567">
        <f t="shared" si="168"/>
        <v>0</v>
      </c>
      <c r="H342" s="567">
        <f t="shared" si="168"/>
        <v>6.37</v>
      </c>
      <c r="I342" s="567">
        <f t="shared" si="168"/>
        <v>0</v>
      </c>
      <c r="J342" s="567">
        <f t="shared" si="168"/>
        <v>0</v>
      </c>
      <c r="K342" s="52">
        <f t="shared" si="165"/>
        <v>7.3220000000000001</v>
      </c>
      <c r="L342" s="217"/>
      <c r="M342" s="50"/>
      <c r="N342" s="57"/>
      <c r="O342" s="499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6"/>
    </row>
    <row r="343" spans="1:57" s="48" customFormat="1" x14ac:dyDescent="0.2">
      <c r="A343" s="501" t="s">
        <v>663</v>
      </c>
      <c r="B343" s="640"/>
      <c r="C343" s="640"/>
      <c r="D343" s="470">
        <v>2021</v>
      </c>
      <c r="E343" s="567">
        <f t="shared" si="167"/>
        <v>7.3220000000000001</v>
      </c>
      <c r="F343" s="567">
        <v>0.95199999999999996</v>
      </c>
      <c r="G343" s="567">
        <v>0</v>
      </c>
      <c r="H343" s="567">
        <v>6.37</v>
      </c>
      <c r="I343" s="567">
        <v>0</v>
      </c>
      <c r="J343" s="567">
        <v>0</v>
      </c>
      <c r="K343" s="52">
        <f t="shared" si="165"/>
        <v>7.3220000000000001</v>
      </c>
      <c r="L343" s="217"/>
      <c r="M343" s="50"/>
      <c r="N343" s="57"/>
      <c r="O343" s="499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6"/>
    </row>
    <row r="344" spans="1:57" s="48" customFormat="1" x14ac:dyDescent="0.2">
      <c r="A344" s="697" t="s">
        <v>664</v>
      </c>
      <c r="B344" s="631" t="s">
        <v>424</v>
      </c>
      <c r="C344" s="631" t="s">
        <v>405</v>
      </c>
      <c r="D344" s="46" t="s">
        <v>198</v>
      </c>
      <c r="E344" s="47">
        <f t="shared" ref="E344:J344" si="169">E345</f>
        <v>16.8</v>
      </c>
      <c r="F344" s="47">
        <f t="shared" si="169"/>
        <v>0</v>
      </c>
      <c r="G344" s="47">
        <f t="shared" si="169"/>
        <v>0</v>
      </c>
      <c r="H344" s="47">
        <f t="shared" si="169"/>
        <v>15.96</v>
      </c>
      <c r="I344" s="47">
        <f t="shared" si="169"/>
        <v>0</v>
      </c>
      <c r="J344" s="47">
        <f t="shared" si="169"/>
        <v>0.84</v>
      </c>
      <c r="K344" s="52">
        <f t="shared" si="165"/>
        <v>16.8</v>
      </c>
      <c r="L344" s="258"/>
      <c r="M344" s="50"/>
      <c r="N344" s="579"/>
      <c r="O344" s="746" t="s">
        <v>236</v>
      </c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6"/>
    </row>
    <row r="345" spans="1:57" s="48" customFormat="1" ht="21.75" customHeight="1" x14ac:dyDescent="0.2">
      <c r="A345" s="734"/>
      <c r="B345" s="702"/>
      <c r="C345" s="702"/>
      <c r="D345" s="470">
        <v>2023</v>
      </c>
      <c r="E345" s="567">
        <f>F345+G345+H345+I345+J345</f>
        <v>16.8</v>
      </c>
      <c r="F345" s="567">
        <v>0</v>
      </c>
      <c r="G345" s="567">
        <v>0</v>
      </c>
      <c r="H345" s="567">
        <v>15.96</v>
      </c>
      <c r="I345" s="567">
        <v>0</v>
      </c>
      <c r="J345" s="567">
        <v>0.84</v>
      </c>
      <c r="K345" s="52">
        <f t="shared" si="165"/>
        <v>16.8</v>
      </c>
      <c r="L345" s="54"/>
      <c r="M345" s="50"/>
      <c r="N345" s="268"/>
      <c r="O345" s="726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6"/>
    </row>
    <row r="346" spans="1:57" s="48" customFormat="1" x14ac:dyDescent="0.2">
      <c r="A346" s="697" t="s">
        <v>665</v>
      </c>
      <c r="B346" s="631" t="s">
        <v>423</v>
      </c>
      <c r="C346" s="631" t="s">
        <v>405</v>
      </c>
      <c r="D346" s="46" t="s">
        <v>198</v>
      </c>
      <c r="E346" s="47">
        <f>E347+E348</f>
        <v>16.8</v>
      </c>
      <c r="F346" s="47">
        <f t="shared" ref="F346:J346" si="170">F347+F348</f>
        <v>0</v>
      </c>
      <c r="G346" s="47">
        <f t="shared" si="170"/>
        <v>0</v>
      </c>
      <c r="H346" s="47">
        <f t="shared" si="170"/>
        <v>15.96</v>
      </c>
      <c r="I346" s="47">
        <f t="shared" si="170"/>
        <v>0</v>
      </c>
      <c r="J346" s="47">
        <f t="shared" si="170"/>
        <v>0.84</v>
      </c>
      <c r="K346" s="52">
        <f t="shared" si="165"/>
        <v>16.8</v>
      </c>
      <c r="L346" s="812"/>
      <c r="M346" s="50"/>
      <c r="N346" s="99"/>
      <c r="O346" s="862" t="s">
        <v>232</v>
      </c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6"/>
    </row>
    <row r="347" spans="1:57" s="48" customFormat="1" x14ac:dyDescent="0.2">
      <c r="A347" s="698"/>
      <c r="B347" s="648"/>
      <c r="C347" s="701"/>
      <c r="D347" s="470">
        <v>2021</v>
      </c>
      <c r="E347" s="567">
        <f>F347+G347+H347+I347+J347</f>
        <v>8.4</v>
      </c>
      <c r="F347" s="567">
        <v>0</v>
      </c>
      <c r="G347" s="567">
        <v>0</v>
      </c>
      <c r="H347" s="567">
        <v>7.98</v>
      </c>
      <c r="I347" s="567">
        <v>0</v>
      </c>
      <c r="J347" s="567">
        <v>0.42</v>
      </c>
      <c r="K347" s="52">
        <f t="shared" si="165"/>
        <v>8.4</v>
      </c>
      <c r="L347" s="861"/>
      <c r="M347" s="50"/>
      <c r="N347" s="99"/>
      <c r="O347" s="863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6"/>
    </row>
    <row r="348" spans="1:57" s="48" customFormat="1" x14ac:dyDescent="0.2">
      <c r="A348" s="734"/>
      <c r="B348" s="702"/>
      <c r="C348" s="702"/>
      <c r="D348" s="470">
        <v>2022</v>
      </c>
      <c r="E348" s="567">
        <f>F348+G348+H348+I348+J348</f>
        <v>8.4</v>
      </c>
      <c r="F348" s="567">
        <v>0</v>
      </c>
      <c r="G348" s="567">
        <v>0</v>
      </c>
      <c r="H348" s="567">
        <v>7.98</v>
      </c>
      <c r="I348" s="567">
        <v>0</v>
      </c>
      <c r="J348" s="567">
        <v>0.42</v>
      </c>
      <c r="K348" s="52">
        <f t="shared" si="165"/>
        <v>8.4</v>
      </c>
      <c r="L348" s="848"/>
      <c r="M348" s="50"/>
      <c r="N348" s="99"/>
      <c r="O348" s="726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6"/>
    </row>
    <row r="349" spans="1:57" s="48" customFormat="1" ht="24.75" customHeight="1" x14ac:dyDescent="0.2">
      <c r="A349" s="864" t="s">
        <v>666</v>
      </c>
      <c r="B349" s="867" t="s">
        <v>1042</v>
      </c>
      <c r="C349" s="219"/>
      <c r="D349" s="46" t="s">
        <v>198</v>
      </c>
      <c r="E349" s="47">
        <f>E350+E351+E352</f>
        <v>0</v>
      </c>
      <c r="F349" s="47">
        <f t="shared" ref="F349:J349" si="171">F350+F351+F352</f>
        <v>0</v>
      </c>
      <c r="G349" s="47">
        <f t="shared" si="171"/>
        <v>0</v>
      </c>
      <c r="H349" s="47">
        <f t="shared" si="171"/>
        <v>0</v>
      </c>
      <c r="I349" s="47">
        <f t="shared" si="171"/>
        <v>0</v>
      </c>
      <c r="J349" s="47">
        <f t="shared" si="171"/>
        <v>0</v>
      </c>
      <c r="K349" s="52">
        <f t="shared" si="165"/>
        <v>0</v>
      </c>
      <c r="L349" s="538" t="s">
        <v>838</v>
      </c>
      <c r="M349" s="50"/>
      <c r="N349" s="51"/>
      <c r="O349" s="705" t="s">
        <v>599</v>
      </c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6"/>
    </row>
    <row r="350" spans="1:57" s="48" customFormat="1" ht="18" customHeight="1" x14ac:dyDescent="0.2">
      <c r="A350" s="865"/>
      <c r="B350" s="868"/>
      <c r="C350" s="631" t="s">
        <v>890</v>
      </c>
      <c r="D350" s="470">
        <v>2020</v>
      </c>
      <c r="E350" s="567">
        <f>F350+G350+H350+I350+J350</f>
        <v>0</v>
      </c>
      <c r="F350" s="567">
        <v>0</v>
      </c>
      <c r="G350" s="567">
        <v>0</v>
      </c>
      <c r="H350" s="567">
        <v>0</v>
      </c>
      <c r="I350" s="567">
        <v>0</v>
      </c>
      <c r="J350" s="567">
        <v>0</v>
      </c>
      <c r="K350" s="52">
        <f t="shared" si="165"/>
        <v>0</v>
      </c>
      <c r="L350" s="548"/>
      <c r="M350" s="50"/>
      <c r="N350" s="63"/>
      <c r="O350" s="73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6"/>
    </row>
    <row r="351" spans="1:57" s="48" customFormat="1" x14ac:dyDescent="0.2">
      <c r="A351" s="865"/>
      <c r="B351" s="868"/>
      <c r="C351" s="648"/>
      <c r="D351" s="470">
        <v>2021</v>
      </c>
      <c r="E351" s="567">
        <f t="shared" ref="E351:E352" si="172">F351+G351+H351+I351+J351</f>
        <v>0</v>
      </c>
      <c r="F351" s="567">
        <v>0</v>
      </c>
      <c r="G351" s="567">
        <v>0</v>
      </c>
      <c r="H351" s="567">
        <v>0</v>
      </c>
      <c r="I351" s="567">
        <v>0</v>
      </c>
      <c r="J351" s="567">
        <v>0</v>
      </c>
      <c r="K351" s="52">
        <f t="shared" si="165"/>
        <v>0</v>
      </c>
      <c r="L351" s="548"/>
      <c r="M351" s="50"/>
      <c r="N351" s="63"/>
      <c r="O351" s="73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6"/>
    </row>
    <row r="352" spans="1:57" s="48" customFormat="1" x14ac:dyDescent="0.2">
      <c r="A352" s="866"/>
      <c r="B352" s="869"/>
      <c r="C352" s="632"/>
      <c r="D352" s="470">
        <v>2022</v>
      </c>
      <c r="E352" s="567">
        <f t="shared" si="172"/>
        <v>0</v>
      </c>
      <c r="F352" s="567">
        <v>0</v>
      </c>
      <c r="G352" s="567">
        <v>0</v>
      </c>
      <c r="H352" s="567">
        <v>0</v>
      </c>
      <c r="I352" s="567">
        <v>0</v>
      </c>
      <c r="J352" s="567">
        <v>0</v>
      </c>
      <c r="K352" s="52">
        <f t="shared" si="165"/>
        <v>0</v>
      </c>
      <c r="L352" s="548"/>
      <c r="M352" s="50"/>
      <c r="N352" s="63"/>
      <c r="O352" s="73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6"/>
    </row>
    <row r="353" spans="1:57" s="48" customFormat="1" ht="12.75" customHeight="1" x14ac:dyDescent="0.2">
      <c r="A353" s="965" t="s">
        <v>1103</v>
      </c>
      <c r="B353" s="631" t="s">
        <v>1094</v>
      </c>
      <c r="C353" s="510"/>
      <c r="D353" s="580" t="s">
        <v>198</v>
      </c>
      <c r="E353" s="47">
        <f>E354</f>
        <v>1.252</v>
      </c>
      <c r="F353" s="47">
        <f t="shared" ref="F353:J353" si="173">F354</f>
        <v>1.252</v>
      </c>
      <c r="G353" s="47">
        <f t="shared" si="173"/>
        <v>0</v>
      </c>
      <c r="H353" s="47">
        <f t="shared" si="173"/>
        <v>0</v>
      </c>
      <c r="I353" s="47">
        <f t="shared" si="173"/>
        <v>0</v>
      </c>
      <c r="J353" s="47">
        <f t="shared" si="173"/>
        <v>0</v>
      </c>
      <c r="K353" s="52">
        <f t="shared" si="165"/>
        <v>1.252</v>
      </c>
      <c r="L353" s="806"/>
      <c r="M353" s="50"/>
      <c r="N353" s="802"/>
      <c r="O353" s="73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6"/>
    </row>
    <row r="354" spans="1:57" s="48" customFormat="1" ht="19.5" customHeight="1" x14ac:dyDescent="0.2">
      <c r="A354" s="966"/>
      <c r="B354" s="648"/>
      <c r="C354" s="219" t="s">
        <v>415</v>
      </c>
      <c r="D354" s="470">
        <v>2019</v>
      </c>
      <c r="E354" s="567">
        <f>F354+G354+H354+I354+J354</f>
        <v>1.252</v>
      </c>
      <c r="F354" s="567">
        <v>1.252</v>
      </c>
      <c r="G354" s="567">
        <v>0</v>
      </c>
      <c r="H354" s="567">
        <v>0</v>
      </c>
      <c r="I354" s="567">
        <v>0</v>
      </c>
      <c r="J354" s="567">
        <v>0</v>
      </c>
      <c r="K354" s="52">
        <f t="shared" si="165"/>
        <v>1.252</v>
      </c>
      <c r="L354" s="807"/>
      <c r="M354" s="50"/>
      <c r="N354" s="803"/>
      <c r="O354" s="73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6"/>
    </row>
    <row r="355" spans="1:57" s="48" customFormat="1" ht="12.75" customHeight="1" x14ac:dyDescent="0.2">
      <c r="A355" s="697" t="s">
        <v>1104</v>
      </c>
      <c r="B355" s="631" t="s">
        <v>546</v>
      </c>
      <c r="C355" s="638" t="s">
        <v>728</v>
      </c>
      <c r="D355" s="46" t="s">
        <v>198</v>
      </c>
      <c r="E355" s="96">
        <f>E357+E358+E356</f>
        <v>250</v>
      </c>
      <c r="F355" s="96">
        <f t="shared" ref="F355:J355" si="174">F357+F358+F356</f>
        <v>250</v>
      </c>
      <c r="G355" s="96">
        <f t="shared" si="174"/>
        <v>0</v>
      </c>
      <c r="H355" s="96">
        <f t="shared" si="174"/>
        <v>0</v>
      </c>
      <c r="I355" s="96">
        <f t="shared" si="174"/>
        <v>0</v>
      </c>
      <c r="J355" s="96">
        <f t="shared" si="174"/>
        <v>0</v>
      </c>
      <c r="K355" s="52">
        <f t="shared" si="165"/>
        <v>250</v>
      </c>
      <c r="L355" s="58"/>
      <c r="M355" s="50"/>
      <c r="N355" s="51"/>
      <c r="O355" s="73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6"/>
    </row>
    <row r="356" spans="1:57" s="48" customFormat="1" x14ac:dyDescent="0.2">
      <c r="A356" s="698"/>
      <c r="B356" s="648"/>
      <c r="C356" s="639"/>
      <c r="D356" s="487">
        <v>2028</v>
      </c>
      <c r="E356" s="494">
        <f>F356+G356+H356+I356+J356</f>
        <v>24</v>
      </c>
      <c r="F356" s="494">
        <v>24</v>
      </c>
      <c r="G356" s="494">
        <v>0</v>
      </c>
      <c r="H356" s="494">
        <v>0</v>
      </c>
      <c r="I356" s="494">
        <v>0</v>
      </c>
      <c r="J356" s="494">
        <v>0</v>
      </c>
      <c r="K356" s="52">
        <f t="shared" si="165"/>
        <v>24</v>
      </c>
      <c r="L356" s="58"/>
      <c r="M356" s="50"/>
      <c r="N356" s="51"/>
      <c r="O356" s="73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6"/>
    </row>
    <row r="357" spans="1:57" s="48" customFormat="1" x14ac:dyDescent="0.2">
      <c r="A357" s="698"/>
      <c r="B357" s="648"/>
      <c r="C357" s="639"/>
      <c r="D357" s="487">
        <v>2029</v>
      </c>
      <c r="E357" s="494">
        <f>F357+G357+H357+I357+J357</f>
        <v>110</v>
      </c>
      <c r="F357" s="494">
        <v>110</v>
      </c>
      <c r="G357" s="494">
        <v>0</v>
      </c>
      <c r="H357" s="494">
        <v>0</v>
      </c>
      <c r="I357" s="494">
        <v>0</v>
      </c>
      <c r="J357" s="494">
        <v>0</v>
      </c>
      <c r="K357" s="52">
        <f t="shared" si="165"/>
        <v>110</v>
      </c>
      <c r="L357" s="58"/>
      <c r="M357" s="50"/>
      <c r="N357" s="51"/>
      <c r="O357" s="73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6"/>
    </row>
    <row r="358" spans="1:57" s="48" customFormat="1" x14ac:dyDescent="0.2">
      <c r="A358" s="698"/>
      <c r="B358" s="648"/>
      <c r="C358" s="640"/>
      <c r="D358" s="487">
        <v>2030</v>
      </c>
      <c r="E358" s="494">
        <f>F358</f>
        <v>116</v>
      </c>
      <c r="F358" s="494">
        <v>116</v>
      </c>
      <c r="G358" s="567">
        <v>0</v>
      </c>
      <c r="H358" s="567">
        <v>0</v>
      </c>
      <c r="I358" s="567">
        <v>0</v>
      </c>
      <c r="J358" s="567">
        <v>0</v>
      </c>
      <c r="K358" s="52">
        <f t="shared" si="165"/>
        <v>116</v>
      </c>
      <c r="L358" s="58" t="s">
        <v>552</v>
      </c>
      <c r="M358" s="50"/>
      <c r="N358" s="51"/>
      <c r="O358" s="770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6"/>
    </row>
    <row r="359" spans="1:57" s="48" customFormat="1" x14ac:dyDescent="0.2">
      <c r="A359" s="699"/>
      <c r="B359" s="670" t="s">
        <v>426</v>
      </c>
      <c r="C359" s="727" t="s">
        <v>394</v>
      </c>
      <c r="D359" s="59" t="s">
        <v>513</v>
      </c>
      <c r="E359" s="494">
        <f>E360</f>
        <v>120</v>
      </c>
      <c r="F359" s="494">
        <f t="shared" ref="F359:K359" si="175">F360</f>
        <v>0</v>
      </c>
      <c r="G359" s="494">
        <f t="shared" si="175"/>
        <v>0</v>
      </c>
      <c r="H359" s="494">
        <f t="shared" si="175"/>
        <v>114</v>
      </c>
      <c r="I359" s="494">
        <f t="shared" si="175"/>
        <v>0</v>
      </c>
      <c r="J359" s="494">
        <f t="shared" si="175"/>
        <v>6</v>
      </c>
      <c r="K359" s="494">
        <f t="shared" si="175"/>
        <v>120</v>
      </c>
      <c r="L359" s="538"/>
      <c r="M359" s="50"/>
      <c r="N359" s="51"/>
      <c r="O359" s="530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6"/>
    </row>
    <row r="360" spans="1:57" s="48" customFormat="1" ht="37.5" customHeight="1" x14ac:dyDescent="0.2">
      <c r="A360" s="495" t="s">
        <v>902</v>
      </c>
      <c r="B360" s="672"/>
      <c r="C360" s="727"/>
      <c r="D360" s="470">
        <v>2026</v>
      </c>
      <c r="E360" s="567">
        <f>F360+G360+H360+I360+J360</f>
        <v>120</v>
      </c>
      <c r="F360" s="567">
        <v>0</v>
      </c>
      <c r="G360" s="567">
        <v>0</v>
      </c>
      <c r="H360" s="567">
        <v>114</v>
      </c>
      <c r="I360" s="567">
        <v>0</v>
      </c>
      <c r="J360" s="567">
        <v>6</v>
      </c>
      <c r="K360" s="52">
        <f t="shared" si="165"/>
        <v>120</v>
      </c>
      <c r="L360" s="540" t="s">
        <v>470</v>
      </c>
      <c r="M360" s="50"/>
      <c r="N360" s="56"/>
      <c r="O360" s="557" t="s">
        <v>237</v>
      </c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6"/>
    </row>
    <row r="361" spans="1:57" s="48" customFormat="1" ht="21.75" customHeight="1" x14ac:dyDescent="0.2">
      <c r="A361" s="697" t="s">
        <v>904</v>
      </c>
      <c r="B361" s="631" t="s">
        <v>780</v>
      </c>
      <c r="C361" s="727" t="s">
        <v>394</v>
      </c>
      <c r="D361" s="46" t="s">
        <v>198</v>
      </c>
      <c r="E361" s="47">
        <f>E362</f>
        <v>120</v>
      </c>
      <c r="F361" s="47">
        <f t="shared" ref="F361:J361" si="176">F362</f>
        <v>0</v>
      </c>
      <c r="G361" s="47">
        <f t="shared" si="176"/>
        <v>0</v>
      </c>
      <c r="H361" s="47">
        <f t="shared" si="176"/>
        <v>114</v>
      </c>
      <c r="I361" s="47">
        <f t="shared" si="176"/>
        <v>0</v>
      </c>
      <c r="J361" s="47">
        <f t="shared" si="176"/>
        <v>6</v>
      </c>
      <c r="K361" s="52">
        <f t="shared" si="165"/>
        <v>120</v>
      </c>
      <c r="L361" s="540"/>
      <c r="M361" s="50"/>
      <c r="N361" s="56"/>
      <c r="O361" s="854" t="s">
        <v>238</v>
      </c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6"/>
    </row>
    <row r="362" spans="1:57" s="48" customFormat="1" ht="28.5" customHeight="1" x14ac:dyDescent="0.2">
      <c r="A362" s="672"/>
      <c r="B362" s="632"/>
      <c r="C362" s="727"/>
      <c r="D362" s="46">
        <v>2025</v>
      </c>
      <c r="E362" s="567">
        <f>F362+G362+H362+I362+J362</f>
        <v>120</v>
      </c>
      <c r="F362" s="567">
        <v>0</v>
      </c>
      <c r="G362" s="567">
        <v>0</v>
      </c>
      <c r="H362" s="567">
        <v>114</v>
      </c>
      <c r="I362" s="567">
        <v>0</v>
      </c>
      <c r="J362" s="567">
        <v>6</v>
      </c>
      <c r="K362" s="52">
        <f t="shared" si="165"/>
        <v>120</v>
      </c>
      <c r="L362" s="560" t="s">
        <v>470</v>
      </c>
      <c r="M362" s="50"/>
      <c r="N362" s="56"/>
      <c r="O362" s="678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6"/>
    </row>
    <row r="363" spans="1:57" s="48" customFormat="1" x14ac:dyDescent="0.2">
      <c r="A363" s="665" t="s">
        <v>990</v>
      </c>
      <c r="B363" s="678" t="s">
        <v>794</v>
      </c>
      <c r="C363" s="678" t="s">
        <v>935</v>
      </c>
      <c r="D363" s="46" t="s">
        <v>198</v>
      </c>
      <c r="E363" s="47">
        <f>E364+E365</f>
        <v>5.0999999999999996</v>
      </c>
      <c r="F363" s="47">
        <f t="shared" ref="F363:J363" si="177">F364+F365</f>
        <v>0</v>
      </c>
      <c r="G363" s="47">
        <f t="shared" si="177"/>
        <v>4</v>
      </c>
      <c r="H363" s="47">
        <f t="shared" si="177"/>
        <v>0.75</v>
      </c>
      <c r="I363" s="47">
        <f t="shared" si="177"/>
        <v>0</v>
      </c>
      <c r="J363" s="47">
        <f t="shared" si="177"/>
        <v>0.35</v>
      </c>
      <c r="K363" s="52">
        <f t="shared" si="165"/>
        <v>5.0999999999999996</v>
      </c>
      <c r="L363" s="558"/>
      <c r="M363" s="50"/>
      <c r="N363" s="56"/>
      <c r="O363" s="478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6"/>
    </row>
    <row r="364" spans="1:57" s="48" customFormat="1" x14ac:dyDescent="0.2">
      <c r="A364" s="665"/>
      <c r="B364" s="678"/>
      <c r="C364" s="678"/>
      <c r="D364" s="46">
        <v>2019</v>
      </c>
      <c r="E364" s="567">
        <f>F364+G364+H364+I364+J364</f>
        <v>0.1</v>
      </c>
      <c r="F364" s="567">
        <v>0</v>
      </c>
      <c r="G364" s="567">
        <v>0</v>
      </c>
      <c r="H364" s="567">
        <v>0</v>
      </c>
      <c r="I364" s="567">
        <v>0</v>
      </c>
      <c r="J364" s="567">
        <v>0.1</v>
      </c>
      <c r="K364" s="52">
        <f t="shared" si="165"/>
        <v>0.1</v>
      </c>
      <c r="L364" s="560"/>
      <c r="M364" s="50"/>
      <c r="N364" s="56"/>
      <c r="O364" s="631" t="s">
        <v>232</v>
      </c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6"/>
    </row>
    <row r="365" spans="1:57" s="48" customFormat="1" ht="42.75" customHeight="1" x14ac:dyDescent="0.2">
      <c r="A365" s="665"/>
      <c r="B365" s="678"/>
      <c r="C365" s="678"/>
      <c r="D365" s="46">
        <v>2020</v>
      </c>
      <c r="E365" s="567">
        <f>F365+G365+H365+I365+J365</f>
        <v>5</v>
      </c>
      <c r="F365" s="567">
        <v>0</v>
      </c>
      <c r="G365" s="567">
        <v>4</v>
      </c>
      <c r="H365" s="567">
        <v>0.75</v>
      </c>
      <c r="I365" s="567">
        <v>0</v>
      </c>
      <c r="J365" s="567">
        <v>0.25</v>
      </c>
      <c r="K365" s="52">
        <f t="shared" si="165"/>
        <v>5</v>
      </c>
      <c r="L365" s="541"/>
      <c r="M365" s="50"/>
      <c r="N365" s="56"/>
      <c r="O365" s="702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6"/>
    </row>
    <row r="366" spans="1:57" s="48" customFormat="1" ht="20.25" customHeight="1" x14ac:dyDescent="0.2">
      <c r="A366" s="665" t="s">
        <v>1105</v>
      </c>
      <c r="B366" s="678" t="s">
        <v>901</v>
      </c>
      <c r="C366" s="678" t="s">
        <v>394</v>
      </c>
      <c r="D366" s="46" t="s">
        <v>198</v>
      </c>
      <c r="E366" s="47">
        <f>E367</f>
        <v>1.996</v>
      </c>
      <c r="F366" s="47">
        <f t="shared" ref="F366:J366" si="178">F367</f>
        <v>0</v>
      </c>
      <c r="G366" s="47">
        <f t="shared" si="178"/>
        <v>0</v>
      </c>
      <c r="H366" s="47">
        <f t="shared" si="178"/>
        <v>1.198</v>
      </c>
      <c r="I366" s="47">
        <f t="shared" si="178"/>
        <v>0.59899999999999998</v>
      </c>
      <c r="J366" s="47">
        <f t="shared" si="178"/>
        <v>0.19900000000000001</v>
      </c>
      <c r="K366" s="52">
        <f t="shared" si="165"/>
        <v>1.996</v>
      </c>
      <c r="L366" s="541"/>
      <c r="M366" s="50"/>
      <c r="N366" s="56"/>
      <c r="O366" s="499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6"/>
    </row>
    <row r="367" spans="1:57" s="48" customFormat="1" ht="36" customHeight="1" x14ac:dyDescent="0.2">
      <c r="A367" s="665"/>
      <c r="B367" s="678"/>
      <c r="C367" s="678"/>
      <c r="D367" s="46">
        <v>2020</v>
      </c>
      <c r="E367" s="567">
        <f>F367+G367+H367+I367+J367</f>
        <v>1.996</v>
      </c>
      <c r="F367" s="567">
        <v>0</v>
      </c>
      <c r="G367" s="567">
        <v>0</v>
      </c>
      <c r="H367" s="567">
        <v>1.198</v>
      </c>
      <c r="I367" s="567">
        <v>0.59899999999999998</v>
      </c>
      <c r="J367" s="567">
        <v>0.19900000000000001</v>
      </c>
      <c r="K367" s="52">
        <f t="shared" si="165"/>
        <v>1.996</v>
      </c>
      <c r="L367" s="536" t="s">
        <v>906</v>
      </c>
      <c r="M367" s="50"/>
      <c r="N367" s="56"/>
      <c r="O367" s="472" t="s">
        <v>905</v>
      </c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6"/>
    </row>
    <row r="368" spans="1:57" s="48" customFormat="1" x14ac:dyDescent="0.2">
      <c r="A368" s="697" t="s">
        <v>1106</v>
      </c>
      <c r="B368" s="631" t="s">
        <v>903</v>
      </c>
      <c r="C368" s="638" t="s">
        <v>386</v>
      </c>
      <c r="D368" s="46" t="s">
        <v>198</v>
      </c>
      <c r="E368" s="47">
        <f t="shared" ref="E368:E369" si="179">F368+G368+H368+I368+J368</f>
        <v>20</v>
      </c>
      <c r="F368" s="47">
        <f>F369</f>
        <v>0</v>
      </c>
      <c r="G368" s="47">
        <f t="shared" ref="G368:J368" si="180">G369</f>
        <v>0</v>
      </c>
      <c r="H368" s="47">
        <f t="shared" si="180"/>
        <v>0</v>
      </c>
      <c r="I368" s="47">
        <f t="shared" si="180"/>
        <v>20</v>
      </c>
      <c r="J368" s="47">
        <f t="shared" si="180"/>
        <v>0</v>
      </c>
      <c r="K368" s="52">
        <f t="shared" si="165"/>
        <v>20</v>
      </c>
      <c r="L368" s="852" t="s">
        <v>907</v>
      </c>
      <c r="M368" s="50"/>
      <c r="N368" s="56"/>
      <c r="O368" s="670" t="s">
        <v>908</v>
      </c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6"/>
    </row>
    <row r="369" spans="1:57" s="48" customFormat="1" x14ac:dyDescent="0.2">
      <c r="A369" s="699"/>
      <c r="B369" s="632"/>
      <c r="C369" s="640"/>
      <c r="D369" s="46">
        <v>2020</v>
      </c>
      <c r="E369" s="567">
        <f t="shared" si="179"/>
        <v>20</v>
      </c>
      <c r="F369" s="567">
        <v>0</v>
      </c>
      <c r="G369" s="567">
        <v>0</v>
      </c>
      <c r="H369" s="567">
        <v>0</v>
      </c>
      <c r="I369" s="567">
        <v>20</v>
      </c>
      <c r="J369" s="567">
        <v>0</v>
      </c>
      <c r="K369" s="52">
        <f t="shared" si="165"/>
        <v>20</v>
      </c>
      <c r="L369" s="853"/>
      <c r="M369" s="50"/>
      <c r="N369" s="56"/>
      <c r="O369" s="672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6"/>
    </row>
    <row r="370" spans="1:57" s="48" customFormat="1" x14ac:dyDescent="0.2">
      <c r="A370" s="697" t="s">
        <v>1107</v>
      </c>
      <c r="B370" s="631" t="s">
        <v>933</v>
      </c>
      <c r="C370" s="631" t="s">
        <v>405</v>
      </c>
      <c r="D370" s="46" t="s">
        <v>198</v>
      </c>
      <c r="E370" s="567">
        <f>E371</f>
        <v>3.5059999999999998</v>
      </c>
      <c r="F370" s="567">
        <f t="shared" ref="F370:J370" si="181">F371</f>
        <v>0</v>
      </c>
      <c r="G370" s="567">
        <f t="shared" si="181"/>
        <v>0</v>
      </c>
      <c r="H370" s="567">
        <f t="shared" si="181"/>
        <v>3.4359999999999999</v>
      </c>
      <c r="I370" s="567">
        <f t="shared" si="181"/>
        <v>0</v>
      </c>
      <c r="J370" s="567">
        <f t="shared" si="181"/>
        <v>7.0000000000000007E-2</v>
      </c>
      <c r="K370" s="52">
        <f t="shared" si="165"/>
        <v>3.5059999999999998</v>
      </c>
      <c r="L370" s="556"/>
      <c r="M370" s="50"/>
      <c r="N370" s="56"/>
      <c r="O370" s="670" t="s">
        <v>934</v>
      </c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6"/>
    </row>
    <row r="371" spans="1:57" s="48" customFormat="1" ht="30" customHeight="1" x14ac:dyDescent="0.2">
      <c r="A371" s="699"/>
      <c r="B371" s="632"/>
      <c r="C371" s="701"/>
      <c r="D371" s="46">
        <v>2020</v>
      </c>
      <c r="E371" s="567">
        <f>F371+G371+H371+I371+J371</f>
        <v>3.5059999999999998</v>
      </c>
      <c r="F371" s="567">
        <v>0</v>
      </c>
      <c r="G371" s="567">
        <v>0</v>
      </c>
      <c r="H371" s="567">
        <v>3.4359999999999999</v>
      </c>
      <c r="I371" s="567">
        <v>0</v>
      </c>
      <c r="J371" s="567">
        <v>7.0000000000000007E-2</v>
      </c>
      <c r="K371" s="52">
        <f t="shared" si="165"/>
        <v>3.5059999999999998</v>
      </c>
      <c r="L371" s="556" t="s">
        <v>932</v>
      </c>
      <c r="M371" s="50"/>
      <c r="N371" s="56"/>
      <c r="O371" s="672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6"/>
    </row>
    <row r="372" spans="1:57" s="48" customFormat="1" x14ac:dyDescent="0.2">
      <c r="A372" s="496"/>
      <c r="B372" s="638" t="s">
        <v>1043</v>
      </c>
      <c r="C372" s="638" t="s">
        <v>408</v>
      </c>
      <c r="D372" s="46" t="s">
        <v>513</v>
      </c>
      <c r="E372" s="567">
        <f>E373</f>
        <v>0</v>
      </c>
      <c r="F372" s="567">
        <f t="shared" ref="F372:J372" si="182">F373</f>
        <v>0</v>
      </c>
      <c r="G372" s="567">
        <f t="shared" si="182"/>
        <v>0</v>
      </c>
      <c r="H372" s="567">
        <f t="shared" si="182"/>
        <v>0</v>
      </c>
      <c r="I372" s="567">
        <f t="shared" si="182"/>
        <v>0</v>
      </c>
      <c r="J372" s="567">
        <f t="shared" si="182"/>
        <v>0</v>
      </c>
      <c r="K372" s="52">
        <f t="shared" si="165"/>
        <v>0</v>
      </c>
      <c r="L372" s="556"/>
      <c r="M372" s="50"/>
      <c r="N372" s="56"/>
      <c r="O372" s="638" t="s">
        <v>1111</v>
      </c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6"/>
    </row>
    <row r="373" spans="1:57" s="226" customFormat="1" x14ac:dyDescent="0.2">
      <c r="A373" s="496" t="s">
        <v>1108</v>
      </c>
      <c r="B373" s="639"/>
      <c r="C373" s="639"/>
      <c r="D373" s="470">
        <v>2020</v>
      </c>
      <c r="E373" s="494">
        <f t="shared" ref="E373" si="183">F373+G373+H373+I373+J373</f>
        <v>0</v>
      </c>
      <c r="F373" s="494">
        <v>0</v>
      </c>
      <c r="G373" s="494">
        <v>0</v>
      </c>
      <c r="H373" s="494">
        <v>0</v>
      </c>
      <c r="I373" s="494">
        <v>0</v>
      </c>
      <c r="J373" s="494">
        <v>0</v>
      </c>
      <c r="K373" s="52">
        <f t="shared" si="165"/>
        <v>0</v>
      </c>
      <c r="L373" s="224"/>
      <c r="M373" s="198"/>
      <c r="N373" s="279"/>
      <c r="O373" s="639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225"/>
    </row>
    <row r="374" spans="1:57" s="226" customFormat="1" x14ac:dyDescent="0.2">
      <c r="A374" s="496"/>
      <c r="B374" s="640"/>
      <c r="C374" s="640"/>
      <c r="D374" s="470">
        <v>2021</v>
      </c>
      <c r="E374" s="494">
        <v>0</v>
      </c>
      <c r="F374" s="494">
        <v>0</v>
      </c>
      <c r="G374" s="494">
        <v>0</v>
      </c>
      <c r="H374" s="494">
        <v>0</v>
      </c>
      <c r="I374" s="494">
        <v>0</v>
      </c>
      <c r="J374" s="494">
        <v>0</v>
      </c>
      <c r="K374" s="52">
        <f t="shared" si="165"/>
        <v>0</v>
      </c>
      <c r="L374" s="224"/>
      <c r="M374" s="198"/>
      <c r="N374" s="279"/>
      <c r="O374" s="640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225"/>
    </row>
    <row r="375" spans="1:57" s="48" customFormat="1" ht="18.75" customHeight="1" x14ac:dyDescent="0.2">
      <c r="A375" s="652">
        <v>5</v>
      </c>
      <c r="B375" s="649" t="s">
        <v>667</v>
      </c>
      <c r="C375" s="758"/>
      <c r="D375" s="46" t="s">
        <v>198</v>
      </c>
      <c r="E375" s="47">
        <f>E376+E377+E378+E379+E380+E381+E382+E383+E384</f>
        <v>159.89249999999998</v>
      </c>
      <c r="F375" s="47">
        <f t="shared" ref="F375:I375" si="184">F376+F377+F378+F379+F380+F381+F382+F383+F384</f>
        <v>0</v>
      </c>
      <c r="G375" s="47">
        <f t="shared" si="184"/>
        <v>0</v>
      </c>
      <c r="H375" s="47">
        <f t="shared" si="184"/>
        <v>153.40379999999999</v>
      </c>
      <c r="I375" s="47">
        <f t="shared" si="184"/>
        <v>2.5</v>
      </c>
      <c r="J375" s="47">
        <f>J376+J377+J378+J379+J380+J381+J382+J383+J384</f>
        <v>3.9887000000000001</v>
      </c>
      <c r="K375" s="52">
        <f t="shared" si="165"/>
        <v>159.89249999999998</v>
      </c>
      <c r="L375" s="541"/>
      <c r="M375" s="50"/>
      <c r="N375" s="56"/>
      <c r="O375" s="27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6"/>
    </row>
    <row r="376" spans="1:57" s="48" customFormat="1" ht="18.75" customHeight="1" x14ac:dyDescent="0.2">
      <c r="A376" s="653"/>
      <c r="B376" s="650"/>
      <c r="C376" s="701"/>
      <c r="D376" s="46">
        <v>2019</v>
      </c>
      <c r="E376" s="47">
        <f>E410</f>
        <v>14.9</v>
      </c>
      <c r="F376" s="47">
        <f t="shared" ref="F376:J376" si="185">F410</f>
        <v>0</v>
      </c>
      <c r="G376" s="47">
        <f t="shared" si="185"/>
        <v>0</v>
      </c>
      <c r="H376" s="47">
        <f t="shared" si="185"/>
        <v>12.4</v>
      </c>
      <c r="I376" s="47">
        <f t="shared" si="185"/>
        <v>2.5</v>
      </c>
      <c r="J376" s="47">
        <f t="shared" si="185"/>
        <v>0</v>
      </c>
      <c r="K376" s="52">
        <f t="shared" si="165"/>
        <v>14.9</v>
      </c>
      <c r="L376" s="55"/>
      <c r="M376" s="50"/>
      <c r="N376" s="56"/>
      <c r="O376" s="512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6"/>
    </row>
    <row r="377" spans="1:57" s="48" customFormat="1" ht="18.75" customHeight="1" x14ac:dyDescent="0.2">
      <c r="A377" s="653"/>
      <c r="B377" s="650"/>
      <c r="C377" s="701"/>
      <c r="D377" s="46">
        <v>2020</v>
      </c>
      <c r="E377" s="47">
        <f>E396+E414</f>
        <v>6.83</v>
      </c>
      <c r="F377" s="47">
        <f t="shared" ref="F377:J377" si="186">F396+F414</f>
        <v>0</v>
      </c>
      <c r="G377" s="47">
        <f t="shared" si="186"/>
        <v>0</v>
      </c>
      <c r="H377" s="47">
        <f t="shared" si="186"/>
        <v>6.6099999999999994</v>
      </c>
      <c r="I377" s="47">
        <f t="shared" si="186"/>
        <v>0</v>
      </c>
      <c r="J377" s="47">
        <f t="shared" si="186"/>
        <v>0.22</v>
      </c>
      <c r="K377" s="52">
        <f t="shared" si="165"/>
        <v>6.8299999999999992</v>
      </c>
      <c r="L377" s="55"/>
      <c r="M377" s="50"/>
      <c r="N377" s="56"/>
      <c r="O377" s="512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6"/>
    </row>
    <row r="378" spans="1:57" s="48" customFormat="1" ht="18.75" customHeight="1" x14ac:dyDescent="0.2">
      <c r="A378" s="751"/>
      <c r="B378" s="701"/>
      <c r="C378" s="701"/>
      <c r="D378" s="46">
        <v>2021</v>
      </c>
      <c r="E378" s="47">
        <f>E392+E397+E412</f>
        <v>65.362499999999997</v>
      </c>
      <c r="F378" s="47">
        <f t="shared" ref="F378:J378" si="187">F392+F397+F412</f>
        <v>0</v>
      </c>
      <c r="G378" s="47">
        <f t="shared" si="187"/>
        <v>0</v>
      </c>
      <c r="H378" s="47">
        <f t="shared" si="187"/>
        <v>65.022499999999994</v>
      </c>
      <c r="I378" s="47">
        <f t="shared" si="187"/>
        <v>0</v>
      </c>
      <c r="J378" s="47">
        <f t="shared" si="187"/>
        <v>0.34</v>
      </c>
      <c r="K378" s="52">
        <f t="shared" si="165"/>
        <v>65.362499999999997</v>
      </c>
      <c r="L378" s="53"/>
      <c r="M378" s="50"/>
      <c r="N378" s="56"/>
      <c r="O378" s="512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6"/>
    </row>
    <row r="379" spans="1:57" s="48" customFormat="1" ht="18.75" customHeight="1" x14ac:dyDescent="0.2">
      <c r="A379" s="751"/>
      <c r="B379" s="701"/>
      <c r="C379" s="701"/>
      <c r="D379" s="46">
        <v>2022</v>
      </c>
      <c r="E379" s="47">
        <f>E390+E407</f>
        <v>3.8</v>
      </c>
      <c r="F379" s="47">
        <f t="shared" ref="F379:J379" si="188">F390+F407</f>
        <v>0</v>
      </c>
      <c r="G379" s="47">
        <f t="shared" si="188"/>
        <v>0</v>
      </c>
      <c r="H379" s="47">
        <f t="shared" si="188"/>
        <v>3.61</v>
      </c>
      <c r="I379" s="47">
        <f t="shared" si="188"/>
        <v>0</v>
      </c>
      <c r="J379" s="47">
        <f t="shared" si="188"/>
        <v>0.19</v>
      </c>
      <c r="K379" s="52">
        <f t="shared" si="165"/>
        <v>3.8</v>
      </c>
      <c r="L379" s="53"/>
      <c r="M379" s="50"/>
      <c r="N379" s="56"/>
      <c r="O379" s="512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6"/>
    </row>
    <row r="380" spans="1:57" s="48" customFormat="1" ht="18" customHeight="1" x14ac:dyDescent="0.2">
      <c r="A380" s="751"/>
      <c r="B380" s="701"/>
      <c r="C380" s="701"/>
      <c r="D380" s="46">
        <v>2023</v>
      </c>
      <c r="E380" s="47">
        <f>E399+E403+E408</f>
        <v>7.6</v>
      </c>
      <c r="F380" s="47">
        <f t="shared" ref="F380:J380" si="189">F399+F403+F408</f>
        <v>0</v>
      </c>
      <c r="G380" s="47">
        <f t="shared" si="189"/>
        <v>0</v>
      </c>
      <c r="H380" s="47">
        <f t="shared" si="189"/>
        <v>7.22</v>
      </c>
      <c r="I380" s="47">
        <f t="shared" si="189"/>
        <v>0</v>
      </c>
      <c r="J380" s="47">
        <f t="shared" si="189"/>
        <v>0.38</v>
      </c>
      <c r="K380" s="52">
        <f t="shared" si="165"/>
        <v>7.6</v>
      </c>
      <c r="L380" s="53"/>
      <c r="M380" s="50"/>
      <c r="N380" s="56"/>
      <c r="O380" s="512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6"/>
    </row>
    <row r="381" spans="1:57" s="48" customFormat="1" ht="16.5" customHeight="1" x14ac:dyDescent="0.2">
      <c r="A381" s="751"/>
      <c r="B381" s="701"/>
      <c r="C381" s="701"/>
      <c r="D381" s="46">
        <v>2024</v>
      </c>
      <c r="E381" s="47">
        <f>E401</f>
        <v>3.8</v>
      </c>
      <c r="F381" s="47">
        <f t="shared" ref="F381:J381" si="190">F401</f>
        <v>0</v>
      </c>
      <c r="G381" s="47">
        <f t="shared" si="190"/>
        <v>0</v>
      </c>
      <c r="H381" s="47">
        <f t="shared" si="190"/>
        <v>3.61</v>
      </c>
      <c r="I381" s="47">
        <f t="shared" si="190"/>
        <v>0</v>
      </c>
      <c r="J381" s="47">
        <f t="shared" si="190"/>
        <v>0.19</v>
      </c>
      <c r="K381" s="52">
        <f t="shared" si="165"/>
        <v>3.8</v>
      </c>
      <c r="L381" s="53"/>
      <c r="M381" s="50"/>
      <c r="N381" s="56"/>
      <c r="O381" s="512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6"/>
    </row>
    <row r="382" spans="1:57" s="48" customFormat="1" ht="21" customHeight="1" x14ac:dyDescent="0.2">
      <c r="A382" s="751"/>
      <c r="B382" s="701"/>
      <c r="C382" s="701"/>
      <c r="D382" s="46">
        <v>2025</v>
      </c>
      <c r="E382" s="47">
        <f>E394</f>
        <v>4.7</v>
      </c>
      <c r="F382" s="47">
        <f t="shared" ref="F382:J382" si="191">F394</f>
        <v>0</v>
      </c>
      <c r="G382" s="47">
        <f t="shared" si="191"/>
        <v>0</v>
      </c>
      <c r="H382" s="47">
        <f t="shared" si="191"/>
        <v>4.5</v>
      </c>
      <c r="I382" s="47">
        <f t="shared" si="191"/>
        <v>0</v>
      </c>
      <c r="J382" s="47">
        <f t="shared" si="191"/>
        <v>0.2</v>
      </c>
      <c r="K382" s="52">
        <f t="shared" si="165"/>
        <v>4.7</v>
      </c>
      <c r="L382" s="53"/>
      <c r="M382" s="50"/>
      <c r="N382" s="56"/>
      <c r="O382" s="512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6"/>
    </row>
    <row r="383" spans="1:57" s="48" customFormat="1" ht="21" customHeight="1" x14ac:dyDescent="0.2">
      <c r="A383" s="751"/>
      <c r="B383" s="701"/>
      <c r="C383" s="701"/>
      <c r="D383" s="46">
        <v>2027</v>
      </c>
      <c r="E383" s="47">
        <f>E386+E405</f>
        <v>14.2</v>
      </c>
      <c r="F383" s="47">
        <f t="shared" ref="F383:J383" si="192">F386+F405</f>
        <v>0</v>
      </c>
      <c r="G383" s="47">
        <f t="shared" si="192"/>
        <v>0</v>
      </c>
      <c r="H383" s="47">
        <f t="shared" si="192"/>
        <v>13.6663</v>
      </c>
      <c r="I383" s="47">
        <f t="shared" si="192"/>
        <v>0</v>
      </c>
      <c r="J383" s="47">
        <f t="shared" si="192"/>
        <v>0.53370000000000006</v>
      </c>
      <c r="K383" s="52">
        <f t="shared" si="165"/>
        <v>14.2</v>
      </c>
      <c r="L383" s="53"/>
      <c r="M383" s="50"/>
      <c r="N383" s="56"/>
      <c r="O383" s="512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6"/>
    </row>
    <row r="384" spans="1:57" s="48" customFormat="1" ht="17.25" customHeight="1" x14ac:dyDescent="0.2">
      <c r="A384" s="752"/>
      <c r="B384" s="702"/>
      <c r="C384" s="702"/>
      <c r="D384" s="46">
        <v>2029</v>
      </c>
      <c r="E384" s="47">
        <f>E388</f>
        <v>38.700000000000003</v>
      </c>
      <c r="F384" s="47">
        <f t="shared" ref="F384:J384" si="193">F388</f>
        <v>0</v>
      </c>
      <c r="G384" s="47">
        <f t="shared" si="193"/>
        <v>0</v>
      </c>
      <c r="H384" s="47">
        <f t="shared" si="193"/>
        <v>36.765000000000001</v>
      </c>
      <c r="I384" s="47">
        <f t="shared" si="193"/>
        <v>0</v>
      </c>
      <c r="J384" s="47">
        <f t="shared" si="193"/>
        <v>1.9350000000000001</v>
      </c>
      <c r="K384" s="52">
        <f t="shared" si="165"/>
        <v>38.700000000000003</v>
      </c>
      <c r="L384" s="53"/>
      <c r="M384" s="50"/>
      <c r="N384" s="56"/>
      <c r="O384" s="512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6"/>
    </row>
    <row r="385" spans="1:57" s="48" customFormat="1" x14ac:dyDescent="0.2">
      <c r="A385" s="697" t="s">
        <v>795</v>
      </c>
      <c r="B385" s="631" t="s">
        <v>434</v>
      </c>
      <c r="C385" s="648" t="s">
        <v>396</v>
      </c>
      <c r="D385" s="46" t="s">
        <v>198</v>
      </c>
      <c r="E385" s="47">
        <f t="shared" ref="E385:J385" si="194">E386</f>
        <v>9.1999999999999993</v>
      </c>
      <c r="F385" s="47">
        <f t="shared" si="194"/>
        <v>0</v>
      </c>
      <c r="G385" s="47">
        <f t="shared" si="194"/>
        <v>0</v>
      </c>
      <c r="H385" s="47">
        <f t="shared" si="194"/>
        <v>8.74</v>
      </c>
      <c r="I385" s="47">
        <f t="shared" si="194"/>
        <v>0</v>
      </c>
      <c r="J385" s="47">
        <f t="shared" si="194"/>
        <v>0.46</v>
      </c>
      <c r="K385" s="52">
        <f t="shared" si="165"/>
        <v>9.2000000000000011</v>
      </c>
      <c r="L385" s="633" t="s">
        <v>421</v>
      </c>
      <c r="M385" s="50"/>
      <c r="N385" s="802">
        <v>0</v>
      </c>
      <c r="O385" s="746" t="s">
        <v>227</v>
      </c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6"/>
    </row>
    <row r="386" spans="1:57" s="48" customFormat="1" ht="16.5" customHeight="1" x14ac:dyDescent="0.2">
      <c r="A386" s="699"/>
      <c r="B386" s="702"/>
      <c r="C386" s="648"/>
      <c r="D386" s="470">
        <v>2027</v>
      </c>
      <c r="E386" s="567">
        <v>9.1999999999999993</v>
      </c>
      <c r="F386" s="567">
        <v>0</v>
      </c>
      <c r="G386" s="567">
        <v>0</v>
      </c>
      <c r="H386" s="567">
        <v>8.74</v>
      </c>
      <c r="I386" s="567">
        <v>0</v>
      </c>
      <c r="J386" s="567">
        <v>0.46</v>
      </c>
      <c r="K386" s="52">
        <f t="shared" si="165"/>
        <v>9.2000000000000011</v>
      </c>
      <c r="L386" s="734"/>
      <c r="M386" s="50"/>
      <c r="N386" s="848"/>
      <c r="O386" s="747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6"/>
    </row>
    <row r="387" spans="1:57" s="48" customFormat="1" ht="10.5" customHeight="1" x14ac:dyDescent="0.2">
      <c r="A387" s="697" t="s">
        <v>796</v>
      </c>
      <c r="B387" s="631" t="s">
        <v>433</v>
      </c>
      <c r="C387" s="648"/>
      <c r="D387" s="46" t="s">
        <v>198</v>
      </c>
      <c r="E387" s="47">
        <f t="shared" ref="E387:J387" si="195">E388</f>
        <v>38.700000000000003</v>
      </c>
      <c r="F387" s="47">
        <f t="shared" si="195"/>
        <v>0</v>
      </c>
      <c r="G387" s="47">
        <f t="shared" si="195"/>
        <v>0</v>
      </c>
      <c r="H387" s="47">
        <f t="shared" si="195"/>
        <v>36.765000000000001</v>
      </c>
      <c r="I387" s="47">
        <f t="shared" si="195"/>
        <v>0</v>
      </c>
      <c r="J387" s="47">
        <f t="shared" si="195"/>
        <v>1.9350000000000001</v>
      </c>
      <c r="K387" s="52">
        <f t="shared" si="165"/>
        <v>38.700000000000003</v>
      </c>
      <c r="L387" s="806" t="s">
        <v>421</v>
      </c>
      <c r="M387" s="50"/>
      <c r="N387" s="802">
        <v>3</v>
      </c>
      <c r="O387" s="747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6"/>
    </row>
    <row r="388" spans="1:57" s="48" customFormat="1" ht="18.75" customHeight="1" x14ac:dyDescent="0.2">
      <c r="A388" s="699"/>
      <c r="B388" s="702"/>
      <c r="C388" s="632"/>
      <c r="D388" s="470">
        <v>2029</v>
      </c>
      <c r="E388" s="567">
        <f>F388+G388+H388+I388+J388</f>
        <v>38.700000000000003</v>
      </c>
      <c r="F388" s="567">
        <v>0</v>
      </c>
      <c r="G388" s="567">
        <v>0</v>
      </c>
      <c r="H388" s="567">
        <v>36.765000000000001</v>
      </c>
      <c r="I388" s="567">
        <v>0</v>
      </c>
      <c r="J388" s="567">
        <v>1.9350000000000001</v>
      </c>
      <c r="K388" s="52">
        <f t="shared" si="165"/>
        <v>38.700000000000003</v>
      </c>
      <c r="L388" s="637"/>
      <c r="M388" s="50"/>
      <c r="N388" s="848"/>
      <c r="O388" s="748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6"/>
    </row>
    <row r="389" spans="1:57" s="48" customFormat="1" x14ac:dyDescent="0.2">
      <c r="A389" s="697" t="s">
        <v>797</v>
      </c>
      <c r="B389" s="631" t="s">
        <v>432</v>
      </c>
      <c r="C389" s="631" t="s">
        <v>395</v>
      </c>
      <c r="D389" s="46" t="s">
        <v>198</v>
      </c>
      <c r="E389" s="47">
        <f t="shared" ref="E389:J389" si="196">E390</f>
        <v>3.8</v>
      </c>
      <c r="F389" s="47">
        <f t="shared" si="196"/>
        <v>0</v>
      </c>
      <c r="G389" s="47">
        <f t="shared" si="196"/>
        <v>0</v>
      </c>
      <c r="H389" s="47">
        <f t="shared" si="196"/>
        <v>3.61</v>
      </c>
      <c r="I389" s="47">
        <f t="shared" si="196"/>
        <v>0</v>
      </c>
      <c r="J389" s="47">
        <f t="shared" si="196"/>
        <v>0.19</v>
      </c>
      <c r="K389" s="52">
        <f t="shared" si="165"/>
        <v>3.8</v>
      </c>
      <c r="L389" s="60"/>
      <c r="M389" s="50"/>
      <c r="N389" s="802">
        <v>1</v>
      </c>
      <c r="O389" s="746" t="s">
        <v>234</v>
      </c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6"/>
    </row>
    <row r="390" spans="1:57" s="48" customFormat="1" ht="51.75" customHeight="1" x14ac:dyDescent="0.2">
      <c r="A390" s="699"/>
      <c r="B390" s="702"/>
      <c r="C390" s="702"/>
      <c r="D390" s="470">
        <v>2022</v>
      </c>
      <c r="E390" s="567">
        <f>F390+G390+H390+I390+J390</f>
        <v>3.8</v>
      </c>
      <c r="F390" s="567">
        <v>0</v>
      </c>
      <c r="G390" s="567">
        <v>0</v>
      </c>
      <c r="H390" s="567">
        <v>3.61</v>
      </c>
      <c r="I390" s="567">
        <v>0</v>
      </c>
      <c r="J390" s="567">
        <v>0.19</v>
      </c>
      <c r="K390" s="52">
        <f t="shared" si="165"/>
        <v>3.8</v>
      </c>
      <c r="L390" s="538" t="s">
        <v>420</v>
      </c>
      <c r="M390" s="50"/>
      <c r="N390" s="848"/>
      <c r="O390" s="748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6"/>
    </row>
    <row r="391" spans="1:57" s="48" customFormat="1" x14ac:dyDescent="0.2">
      <c r="A391" s="697" t="s">
        <v>798</v>
      </c>
      <c r="B391" s="631" t="s">
        <v>431</v>
      </c>
      <c r="C391" s="631" t="s">
        <v>393</v>
      </c>
      <c r="D391" s="46" t="s">
        <v>198</v>
      </c>
      <c r="E391" s="47">
        <f t="shared" ref="E391:J391" si="197">E392</f>
        <v>3.8</v>
      </c>
      <c r="F391" s="47">
        <f t="shared" si="197"/>
        <v>0</v>
      </c>
      <c r="G391" s="47">
        <f t="shared" si="197"/>
        <v>0</v>
      </c>
      <c r="H391" s="47">
        <f t="shared" si="197"/>
        <v>3.61</v>
      </c>
      <c r="I391" s="47">
        <f t="shared" si="197"/>
        <v>0</v>
      </c>
      <c r="J391" s="47">
        <f t="shared" si="197"/>
        <v>0.19</v>
      </c>
      <c r="K391" s="52">
        <f t="shared" si="165"/>
        <v>3.8</v>
      </c>
      <c r="L391" s="806" t="s">
        <v>420</v>
      </c>
      <c r="M391" s="50"/>
      <c r="N391" s="802">
        <v>1</v>
      </c>
      <c r="O391" s="746" t="s">
        <v>235</v>
      </c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6"/>
    </row>
    <row r="392" spans="1:57" s="48" customFormat="1" ht="57.75" customHeight="1" x14ac:dyDescent="0.2">
      <c r="A392" s="699"/>
      <c r="B392" s="702"/>
      <c r="C392" s="702"/>
      <c r="D392" s="470">
        <v>2021</v>
      </c>
      <c r="E392" s="567">
        <f>F392+G392+H392+I392+J392</f>
        <v>3.8</v>
      </c>
      <c r="F392" s="567">
        <v>0</v>
      </c>
      <c r="G392" s="567">
        <v>0</v>
      </c>
      <c r="H392" s="567">
        <v>3.61</v>
      </c>
      <c r="I392" s="567">
        <v>0</v>
      </c>
      <c r="J392" s="567">
        <v>0.19</v>
      </c>
      <c r="K392" s="52">
        <f t="shared" si="165"/>
        <v>3.8</v>
      </c>
      <c r="L392" s="849"/>
      <c r="M392" s="50"/>
      <c r="N392" s="851"/>
      <c r="O392" s="747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6"/>
    </row>
    <row r="393" spans="1:57" s="48" customFormat="1" x14ac:dyDescent="0.2">
      <c r="A393" s="697" t="s">
        <v>668</v>
      </c>
      <c r="B393" s="631" t="s">
        <v>430</v>
      </c>
      <c r="C393" s="631" t="s">
        <v>393</v>
      </c>
      <c r="D393" s="46" t="s">
        <v>198</v>
      </c>
      <c r="E393" s="47">
        <f t="shared" ref="E393:J393" si="198">E394</f>
        <v>4.7</v>
      </c>
      <c r="F393" s="47">
        <f t="shared" si="198"/>
        <v>0</v>
      </c>
      <c r="G393" s="47">
        <f t="shared" si="198"/>
        <v>0</v>
      </c>
      <c r="H393" s="47">
        <f t="shared" si="198"/>
        <v>4.5</v>
      </c>
      <c r="I393" s="47">
        <f t="shared" si="198"/>
        <v>0</v>
      </c>
      <c r="J393" s="47">
        <f t="shared" si="198"/>
        <v>0.2</v>
      </c>
      <c r="K393" s="52">
        <f t="shared" ref="K393:K454" si="199">F393+G393+H393+I393+J393</f>
        <v>4.7</v>
      </c>
      <c r="L393" s="60"/>
      <c r="M393" s="50"/>
      <c r="N393" s="850">
        <v>2</v>
      </c>
      <c r="O393" s="746" t="s">
        <v>236</v>
      </c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6"/>
    </row>
    <row r="394" spans="1:57" s="48" customFormat="1" ht="60.75" customHeight="1" x14ac:dyDescent="0.2">
      <c r="A394" s="699"/>
      <c r="B394" s="702"/>
      <c r="C394" s="702"/>
      <c r="D394" s="470">
        <v>2025</v>
      </c>
      <c r="E394" s="567">
        <f>F394+G394+H394+I394+J394</f>
        <v>4.7</v>
      </c>
      <c r="F394" s="567">
        <v>0</v>
      </c>
      <c r="G394" s="567">
        <v>0</v>
      </c>
      <c r="H394" s="567">
        <v>4.5</v>
      </c>
      <c r="I394" s="567">
        <v>0</v>
      </c>
      <c r="J394" s="567">
        <v>0.2</v>
      </c>
      <c r="K394" s="52">
        <f t="shared" si="199"/>
        <v>4.7</v>
      </c>
      <c r="L394" s="538" t="s">
        <v>810</v>
      </c>
      <c r="M394" s="50"/>
      <c r="N394" s="851"/>
      <c r="O394" s="72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6"/>
    </row>
    <row r="395" spans="1:57" s="48" customFormat="1" ht="25.5" customHeight="1" x14ac:dyDescent="0.2">
      <c r="A395" s="697" t="s">
        <v>669</v>
      </c>
      <c r="B395" s="631" t="s">
        <v>918</v>
      </c>
      <c r="C395" s="631" t="s">
        <v>396</v>
      </c>
      <c r="D395" s="46" t="s">
        <v>198</v>
      </c>
      <c r="E395" s="47">
        <f>E396+E397</f>
        <v>63.105000000000004</v>
      </c>
      <c r="F395" s="47">
        <f t="shared" ref="F395:J395" si="200">F396+F397</f>
        <v>0</v>
      </c>
      <c r="G395" s="47">
        <f t="shared" si="200"/>
        <v>0</v>
      </c>
      <c r="H395" s="47">
        <f t="shared" si="200"/>
        <v>63</v>
      </c>
      <c r="I395" s="47">
        <f t="shared" si="200"/>
        <v>0</v>
      </c>
      <c r="J395" s="47">
        <f t="shared" si="200"/>
        <v>0.105</v>
      </c>
      <c r="K395" s="52">
        <f t="shared" si="199"/>
        <v>63.104999999999997</v>
      </c>
      <c r="L395" s="806"/>
      <c r="M395" s="50"/>
      <c r="N395" s="109"/>
      <c r="O395" s="72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6"/>
    </row>
    <row r="396" spans="1:57" s="48" customFormat="1" x14ac:dyDescent="0.2">
      <c r="A396" s="698"/>
      <c r="B396" s="648"/>
      <c r="C396" s="648"/>
      <c r="D396" s="470">
        <v>2020</v>
      </c>
      <c r="E396" s="567">
        <f>F396+G396+H396+I396+J396</f>
        <v>3.03</v>
      </c>
      <c r="F396" s="567">
        <v>0</v>
      </c>
      <c r="G396" s="567">
        <v>0</v>
      </c>
      <c r="H396" s="567">
        <v>3</v>
      </c>
      <c r="I396" s="567">
        <v>0</v>
      </c>
      <c r="J396" s="567">
        <v>0.03</v>
      </c>
      <c r="K396" s="52">
        <f t="shared" si="199"/>
        <v>3.03</v>
      </c>
      <c r="L396" s="807"/>
      <c r="M396" s="50"/>
      <c r="N396" s="276"/>
      <c r="O396" s="72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6"/>
    </row>
    <row r="397" spans="1:57" s="48" customFormat="1" x14ac:dyDescent="0.2">
      <c r="A397" s="699"/>
      <c r="B397" s="632"/>
      <c r="C397" s="632"/>
      <c r="D397" s="470">
        <v>2021</v>
      </c>
      <c r="E397" s="567">
        <f>F397+G397+H397+I397+J397</f>
        <v>60.075000000000003</v>
      </c>
      <c r="F397" s="567">
        <v>0</v>
      </c>
      <c r="G397" s="567">
        <v>0</v>
      </c>
      <c r="H397" s="567">
        <v>60</v>
      </c>
      <c r="I397" s="567">
        <v>0</v>
      </c>
      <c r="J397" s="567">
        <v>7.4999999999999997E-2</v>
      </c>
      <c r="K397" s="52">
        <f t="shared" si="199"/>
        <v>60.075000000000003</v>
      </c>
      <c r="L397" s="548"/>
      <c r="M397" s="50"/>
      <c r="N397" s="277"/>
      <c r="O397" s="512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6"/>
    </row>
    <row r="398" spans="1:57" s="48" customFormat="1" ht="18.75" customHeight="1" x14ac:dyDescent="0.2">
      <c r="A398" s="697" t="s">
        <v>799</v>
      </c>
      <c r="B398" s="631" t="s">
        <v>429</v>
      </c>
      <c r="C398" s="631" t="s">
        <v>393</v>
      </c>
      <c r="D398" s="46" t="s">
        <v>198</v>
      </c>
      <c r="E398" s="47">
        <f t="shared" ref="E398:J398" si="201">E399</f>
        <v>3.8</v>
      </c>
      <c r="F398" s="47">
        <f t="shared" si="201"/>
        <v>0</v>
      </c>
      <c r="G398" s="47">
        <f t="shared" si="201"/>
        <v>0</v>
      </c>
      <c r="H398" s="47">
        <f t="shared" si="201"/>
        <v>3.61</v>
      </c>
      <c r="I398" s="47">
        <f t="shared" si="201"/>
        <v>0</v>
      </c>
      <c r="J398" s="47">
        <f t="shared" si="201"/>
        <v>0.19</v>
      </c>
      <c r="K398" s="52">
        <f t="shared" si="199"/>
        <v>3.8</v>
      </c>
      <c r="L398" s="806" t="s">
        <v>420</v>
      </c>
      <c r="M398" s="50"/>
      <c r="N398" s="802">
        <v>1</v>
      </c>
      <c r="O398" s="746" t="s">
        <v>237</v>
      </c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6"/>
    </row>
    <row r="399" spans="1:57" s="48" customFormat="1" ht="33.75" customHeight="1" x14ac:dyDescent="0.2">
      <c r="A399" s="699"/>
      <c r="B399" s="702"/>
      <c r="C399" s="702"/>
      <c r="D399" s="470">
        <v>2023</v>
      </c>
      <c r="E399" s="567">
        <f>F399+G399+H399+I399+J399</f>
        <v>3.8</v>
      </c>
      <c r="F399" s="567">
        <v>0</v>
      </c>
      <c r="G399" s="567">
        <v>0</v>
      </c>
      <c r="H399" s="567">
        <v>3.61</v>
      </c>
      <c r="I399" s="567">
        <v>0</v>
      </c>
      <c r="J399" s="567">
        <v>0.19</v>
      </c>
      <c r="K399" s="52">
        <f t="shared" si="199"/>
        <v>3.8</v>
      </c>
      <c r="L399" s="849"/>
      <c r="M399" s="50"/>
      <c r="N399" s="848"/>
      <c r="O399" s="747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6"/>
    </row>
    <row r="400" spans="1:57" s="48" customFormat="1" ht="18.75" customHeight="1" x14ac:dyDescent="0.2">
      <c r="A400" s="697" t="s">
        <v>800</v>
      </c>
      <c r="B400" s="631" t="s">
        <v>428</v>
      </c>
      <c r="C400" s="631" t="s">
        <v>393</v>
      </c>
      <c r="D400" s="46" t="s">
        <v>198</v>
      </c>
      <c r="E400" s="47">
        <f t="shared" ref="E400:J400" si="202">E401</f>
        <v>3.8</v>
      </c>
      <c r="F400" s="47">
        <f t="shared" si="202"/>
        <v>0</v>
      </c>
      <c r="G400" s="47">
        <f t="shared" si="202"/>
        <v>0</v>
      </c>
      <c r="H400" s="47">
        <f t="shared" si="202"/>
        <v>3.61</v>
      </c>
      <c r="I400" s="47">
        <f t="shared" si="202"/>
        <v>0</v>
      </c>
      <c r="J400" s="47">
        <f t="shared" si="202"/>
        <v>0.19</v>
      </c>
      <c r="K400" s="52">
        <f t="shared" si="199"/>
        <v>3.8</v>
      </c>
      <c r="L400" s="806" t="s">
        <v>420</v>
      </c>
      <c r="M400" s="50"/>
      <c r="N400" s="802">
        <v>1</v>
      </c>
      <c r="O400" s="747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6"/>
    </row>
    <row r="401" spans="1:57" s="48" customFormat="1" ht="42" customHeight="1" x14ac:dyDescent="0.2">
      <c r="A401" s="699"/>
      <c r="B401" s="702"/>
      <c r="C401" s="702"/>
      <c r="D401" s="470">
        <v>2024</v>
      </c>
      <c r="E401" s="567">
        <f>F401+G401+H401+I401+J401</f>
        <v>3.8</v>
      </c>
      <c r="F401" s="567">
        <v>0</v>
      </c>
      <c r="G401" s="567">
        <v>0</v>
      </c>
      <c r="H401" s="567">
        <v>3.61</v>
      </c>
      <c r="I401" s="567">
        <v>0</v>
      </c>
      <c r="J401" s="567">
        <v>0.19</v>
      </c>
      <c r="K401" s="52">
        <f t="shared" si="199"/>
        <v>3.8</v>
      </c>
      <c r="L401" s="849"/>
      <c r="M401" s="50"/>
      <c r="N401" s="848"/>
      <c r="O401" s="747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6"/>
    </row>
    <row r="402" spans="1:57" s="48" customFormat="1" ht="21" customHeight="1" x14ac:dyDescent="0.2">
      <c r="A402" s="697" t="s">
        <v>801</v>
      </c>
      <c r="B402" s="631" t="s">
        <v>427</v>
      </c>
      <c r="C402" s="631" t="s">
        <v>393</v>
      </c>
      <c r="D402" s="46" t="s">
        <v>198</v>
      </c>
      <c r="E402" s="47">
        <f t="shared" ref="E402:J402" si="203">E403</f>
        <v>3.8</v>
      </c>
      <c r="F402" s="47">
        <f t="shared" si="203"/>
        <v>0</v>
      </c>
      <c r="G402" s="47">
        <f t="shared" si="203"/>
        <v>0</v>
      </c>
      <c r="H402" s="47">
        <f t="shared" si="203"/>
        <v>3.61</v>
      </c>
      <c r="I402" s="47">
        <f t="shared" si="203"/>
        <v>0</v>
      </c>
      <c r="J402" s="47">
        <f t="shared" si="203"/>
        <v>0.19</v>
      </c>
      <c r="K402" s="52">
        <f t="shared" si="199"/>
        <v>3.8</v>
      </c>
      <c r="L402" s="58" t="s">
        <v>420</v>
      </c>
      <c r="M402" s="50"/>
      <c r="N402" s="802">
        <v>1</v>
      </c>
      <c r="O402" s="746" t="s">
        <v>238</v>
      </c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6"/>
    </row>
    <row r="403" spans="1:57" s="48" customFormat="1" ht="31.5" customHeight="1" x14ac:dyDescent="0.2">
      <c r="A403" s="699"/>
      <c r="B403" s="702"/>
      <c r="C403" s="702"/>
      <c r="D403" s="470">
        <v>2023</v>
      </c>
      <c r="E403" s="567">
        <f>F403+G403+H403+I403+J403</f>
        <v>3.8</v>
      </c>
      <c r="F403" s="567">
        <v>0</v>
      </c>
      <c r="G403" s="567">
        <v>0</v>
      </c>
      <c r="H403" s="567">
        <v>3.61</v>
      </c>
      <c r="I403" s="567">
        <v>0</v>
      </c>
      <c r="J403" s="567">
        <v>0.19</v>
      </c>
      <c r="K403" s="52">
        <f t="shared" si="199"/>
        <v>3.8</v>
      </c>
      <c r="L403" s="553"/>
      <c r="M403" s="50"/>
      <c r="N403" s="848"/>
      <c r="O403" s="747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6"/>
    </row>
    <row r="404" spans="1:57" s="48" customFormat="1" ht="19.5" customHeight="1" x14ac:dyDescent="0.2">
      <c r="A404" s="697" t="s">
        <v>802</v>
      </c>
      <c r="B404" s="631" t="s">
        <v>422</v>
      </c>
      <c r="C404" s="631" t="s">
        <v>393</v>
      </c>
      <c r="D404" s="46" t="s">
        <v>198</v>
      </c>
      <c r="E404" s="47">
        <f>E405</f>
        <v>5</v>
      </c>
      <c r="F404" s="47">
        <f t="shared" ref="F404:J404" si="204">F405</f>
        <v>0</v>
      </c>
      <c r="G404" s="47">
        <f t="shared" si="204"/>
        <v>0</v>
      </c>
      <c r="H404" s="47">
        <f t="shared" si="204"/>
        <v>4.9263000000000003</v>
      </c>
      <c r="I404" s="47">
        <f t="shared" si="204"/>
        <v>0</v>
      </c>
      <c r="J404" s="47">
        <f t="shared" si="204"/>
        <v>7.3700000000000002E-2</v>
      </c>
      <c r="K404" s="52">
        <f t="shared" si="199"/>
        <v>5</v>
      </c>
      <c r="L404" s="806" t="s">
        <v>420</v>
      </c>
      <c r="M404" s="50"/>
      <c r="N404" s="802">
        <v>1</v>
      </c>
      <c r="O404" s="746" t="s">
        <v>419</v>
      </c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6"/>
    </row>
    <row r="405" spans="1:57" s="48" customFormat="1" ht="34.5" customHeight="1" x14ac:dyDescent="0.2">
      <c r="A405" s="699"/>
      <c r="B405" s="632"/>
      <c r="C405" s="702"/>
      <c r="D405" s="470">
        <v>2027</v>
      </c>
      <c r="E405" s="567">
        <f>F405+G405+H405+I405+J405</f>
        <v>5</v>
      </c>
      <c r="F405" s="567">
        <v>0</v>
      </c>
      <c r="G405" s="567">
        <v>0</v>
      </c>
      <c r="H405" s="567">
        <v>4.9263000000000003</v>
      </c>
      <c r="I405" s="567">
        <v>0</v>
      </c>
      <c r="J405" s="567">
        <v>7.3700000000000002E-2</v>
      </c>
      <c r="K405" s="52">
        <f t="shared" si="199"/>
        <v>5</v>
      </c>
      <c r="L405" s="637"/>
      <c r="M405" s="50"/>
      <c r="N405" s="848"/>
      <c r="O405" s="748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6"/>
    </row>
    <row r="406" spans="1:57" s="48" customFormat="1" ht="19.5" customHeight="1" x14ac:dyDescent="0.2">
      <c r="A406" s="697" t="s">
        <v>853</v>
      </c>
      <c r="B406" s="678" t="s">
        <v>553</v>
      </c>
      <c r="C406" s="648" t="s">
        <v>890</v>
      </c>
      <c r="D406" s="46" t="s">
        <v>198</v>
      </c>
      <c r="E406" s="47">
        <f t="shared" ref="E406:J406" si="205">E407+E408</f>
        <v>0</v>
      </c>
      <c r="F406" s="47">
        <f t="shared" si="205"/>
        <v>0</v>
      </c>
      <c r="G406" s="47">
        <f t="shared" si="205"/>
        <v>0</v>
      </c>
      <c r="H406" s="47">
        <f t="shared" si="205"/>
        <v>0</v>
      </c>
      <c r="I406" s="47">
        <f t="shared" si="205"/>
        <v>0</v>
      </c>
      <c r="J406" s="47">
        <f t="shared" si="205"/>
        <v>0</v>
      </c>
      <c r="K406" s="52">
        <f t="shared" si="199"/>
        <v>0</v>
      </c>
      <c r="L406" s="842" t="s">
        <v>859</v>
      </c>
      <c r="M406" s="50"/>
      <c r="N406" s="56"/>
      <c r="O406" s="845" t="s">
        <v>230</v>
      </c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6"/>
    </row>
    <row r="407" spans="1:57" s="48" customFormat="1" x14ac:dyDescent="0.2">
      <c r="A407" s="698"/>
      <c r="B407" s="678"/>
      <c r="C407" s="648"/>
      <c r="D407" s="470">
        <v>2022</v>
      </c>
      <c r="E407" s="567">
        <f>F407+G407+H407+I407+J407</f>
        <v>0</v>
      </c>
      <c r="F407" s="567">
        <v>0</v>
      </c>
      <c r="G407" s="567">
        <v>0</v>
      </c>
      <c r="H407" s="567">
        <v>0</v>
      </c>
      <c r="I407" s="567">
        <v>0</v>
      </c>
      <c r="J407" s="567">
        <v>0</v>
      </c>
      <c r="K407" s="52">
        <f t="shared" si="199"/>
        <v>0</v>
      </c>
      <c r="L407" s="843"/>
      <c r="M407" s="50"/>
      <c r="N407" s="56"/>
      <c r="O407" s="84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6"/>
    </row>
    <row r="408" spans="1:57" s="48" customFormat="1" ht="19.5" customHeight="1" x14ac:dyDescent="0.2">
      <c r="A408" s="699"/>
      <c r="B408" s="678"/>
      <c r="C408" s="648"/>
      <c r="D408" s="539">
        <v>2023</v>
      </c>
      <c r="E408" s="567">
        <f>F408+G408+H408+I408+J408</f>
        <v>0</v>
      </c>
      <c r="F408" s="567">
        <v>0</v>
      </c>
      <c r="G408" s="567">
        <v>0</v>
      </c>
      <c r="H408" s="278">
        <v>0</v>
      </c>
      <c r="I408" s="567">
        <v>0</v>
      </c>
      <c r="J408" s="567">
        <v>0</v>
      </c>
      <c r="K408" s="52">
        <f t="shared" si="199"/>
        <v>0</v>
      </c>
      <c r="L408" s="844"/>
      <c r="M408" s="50"/>
      <c r="N408" s="56"/>
      <c r="O408" s="846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6"/>
    </row>
    <row r="409" spans="1:57" s="48" customFormat="1" x14ac:dyDescent="0.2">
      <c r="A409" s="697" t="s">
        <v>854</v>
      </c>
      <c r="B409" s="631" t="s">
        <v>588</v>
      </c>
      <c r="C409" s="847" t="s">
        <v>731</v>
      </c>
      <c r="D409" s="46" t="s">
        <v>198</v>
      </c>
      <c r="E409" s="47">
        <f>E410</f>
        <v>14.9</v>
      </c>
      <c r="F409" s="47">
        <f>F410</f>
        <v>0</v>
      </c>
      <c r="G409" s="47">
        <f t="shared" ref="G409:I409" si="206">G410</f>
        <v>0</v>
      </c>
      <c r="H409" s="47">
        <f t="shared" si="206"/>
        <v>12.4</v>
      </c>
      <c r="I409" s="47">
        <f t="shared" si="206"/>
        <v>2.5</v>
      </c>
      <c r="J409" s="47">
        <f>J410</f>
        <v>0</v>
      </c>
      <c r="K409" s="52">
        <f t="shared" si="199"/>
        <v>14.9</v>
      </c>
      <c r="L409" s="222"/>
      <c r="M409" s="50"/>
      <c r="N409" s="56"/>
      <c r="O409" s="788" t="s">
        <v>228</v>
      </c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6"/>
    </row>
    <row r="410" spans="1:57" s="48" customFormat="1" ht="93" customHeight="1" x14ac:dyDescent="0.2">
      <c r="A410" s="632"/>
      <c r="B410" s="632"/>
      <c r="C410" s="847"/>
      <c r="D410" s="46">
        <v>2019</v>
      </c>
      <c r="E410" s="567">
        <f>F410+G410+H410+I410+J410</f>
        <v>14.9</v>
      </c>
      <c r="F410" s="567">
        <v>0</v>
      </c>
      <c r="G410" s="567">
        <v>0</v>
      </c>
      <c r="H410" s="567">
        <v>12.4</v>
      </c>
      <c r="I410" s="567">
        <v>2.5</v>
      </c>
      <c r="J410" s="567">
        <v>0</v>
      </c>
      <c r="K410" s="52">
        <f t="shared" si="199"/>
        <v>14.9</v>
      </c>
      <c r="L410" s="222"/>
      <c r="M410" s="50"/>
      <c r="N410" s="56"/>
      <c r="O410" s="790"/>
      <c r="P410" s="223"/>
      <c r="Q410" s="223"/>
      <c r="R410" s="223"/>
      <c r="S410" s="223"/>
      <c r="T410" s="223"/>
      <c r="U410" s="223"/>
      <c r="V410" s="223"/>
      <c r="W410" s="223"/>
      <c r="X410" s="223"/>
      <c r="Y410" s="223"/>
      <c r="Z410" s="223"/>
      <c r="AA410" s="223"/>
      <c r="AB410" s="223"/>
      <c r="AC410" s="223"/>
      <c r="AD410" s="223"/>
      <c r="AE410" s="223"/>
      <c r="AF410" s="223"/>
      <c r="AG410" s="223"/>
      <c r="AH410" s="223"/>
      <c r="AI410" s="223"/>
      <c r="AJ410" s="223"/>
      <c r="AK410" s="223"/>
      <c r="AL410" s="223"/>
      <c r="AM410" s="223"/>
      <c r="AN410" s="223"/>
      <c r="AO410" s="223"/>
      <c r="AP410" s="223"/>
      <c r="AQ410" s="223"/>
      <c r="AR410" s="223"/>
      <c r="AS410" s="223"/>
      <c r="AT410" s="223"/>
      <c r="AU410" s="223"/>
      <c r="AV410" s="223"/>
      <c r="AW410" s="223"/>
      <c r="AX410" s="223"/>
      <c r="AY410" s="223"/>
      <c r="AZ410" s="223"/>
      <c r="BA410" s="223"/>
      <c r="BB410" s="223"/>
      <c r="BC410" s="223"/>
      <c r="BD410" s="223"/>
      <c r="BE410" s="66"/>
    </row>
    <row r="411" spans="1:57" s="226" customFormat="1" ht="33" customHeight="1" x14ac:dyDescent="0.2">
      <c r="A411" s="483" t="s">
        <v>803</v>
      </c>
      <c r="B411" s="478" t="s">
        <v>811</v>
      </c>
      <c r="C411" s="705" t="s">
        <v>396</v>
      </c>
      <c r="D411" s="59" t="s">
        <v>198</v>
      </c>
      <c r="E411" s="96">
        <f>E412</f>
        <v>1.4875</v>
      </c>
      <c r="F411" s="96">
        <f t="shared" ref="F411:J411" si="207">F412</f>
        <v>0</v>
      </c>
      <c r="G411" s="96">
        <f t="shared" si="207"/>
        <v>0</v>
      </c>
      <c r="H411" s="96">
        <f t="shared" si="207"/>
        <v>1.4125000000000001</v>
      </c>
      <c r="I411" s="96">
        <f t="shared" si="207"/>
        <v>0</v>
      </c>
      <c r="J411" s="96">
        <f t="shared" si="207"/>
        <v>7.4999999999999997E-2</v>
      </c>
      <c r="K411" s="52">
        <f t="shared" si="199"/>
        <v>1.4875</v>
      </c>
      <c r="L411" s="842" t="s">
        <v>511</v>
      </c>
      <c r="M411" s="198"/>
      <c r="N411" s="279"/>
      <c r="O411" s="788" t="s">
        <v>236</v>
      </c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225"/>
    </row>
    <row r="412" spans="1:57" s="226" customFormat="1" x14ac:dyDescent="0.2">
      <c r="A412" s="478"/>
      <c r="B412" s="478"/>
      <c r="C412" s="706"/>
      <c r="D412" s="486">
        <v>2021</v>
      </c>
      <c r="E412" s="494">
        <f>F412+G412+H412+I412+J412</f>
        <v>1.4875</v>
      </c>
      <c r="F412" s="494">
        <v>0</v>
      </c>
      <c r="G412" s="494">
        <v>0</v>
      </c>
      <c r="H412" s="494">
        <v>1.4125000000000001</v>
      </c>
      <c r="I412" s="494">
        <v>0</v>
      </c>
      <c r="J412" s="494">
        <v>7.4999999999999997E-2</v>
      </c>
      <c r="K412" s="52">
        <f t="shared" si="199"/>
        <v>1.4875</v>
      </c>
      <c r="L412" s="844"/>
      <c r="M412" s="198"/>
      <c r="N412" s="279"/>
      <c r="O412" s="790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225"/>
    </row>
    <row r="413" spans="1:57" s="226" customFormat="1" ht="18.75" customHeight="1" x14ac:dyDescent="0.2">
      <c r="A413" s="670" t="s">
        <v>898</v>
      </c>
      <c r="B413" s="862" t="s">
        <v>899</v>
      </c>
      <c r="C413" s="862" t="s">
        <v>393</v>
      </c>
      <c r="D413" s="46" t="s">
        <v>198</v>
      </c>
      <c r="E413" s="96">
        <f>E414</f>
        <v>3.8</v>
      </c>
      <c r="F413" s="96">
        <f t="shared" ref="F413:J413" si="208">F414</f>
        <v>0</v>
      </c>
      <c r="G413" s="96">
        <f t="shared" si="208"/>
        <v>0</v>
      </c>
      <c r="H413" s="96">
        <f t="shared" si="208"/>
        <v>3.61</v>
      </c>
      <c r="I413" s="96">
        <f t="shared" si="208"/>
        <v>0</v>
      </c>
      <c r="J413" s="96">
        <f t="shared" si="208"/>
        <v>0.19</v>
      </c>
      <c r="K413" s="52">
        <f t="shared" si="199"/>
        <v>3.8</v>
      </c>
      <c r="L413" s="224"/>
      <c r="M413" s="198"/>
      <c r="N413" s="279"/>
      <c r="O413" s="760" t="s">
        <v>900</v>
      </c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225"/>
    </row>
    <row r="414" spans="1:57" s="226" customFormat="1" ht="35.25" customHeight="1" x14ac:dyDescent="0.2">
      <c r="A414" s="672"/>
      <c r="B414" s="778"/>
      <c r="C414" s="726"/>
      <c r="D414" s="470">
        <v>2020</v>
      </c>
      <c r="E414" s="494">
        <f>F414+G414+H414+I414+J414</f>
        <v>3.8</v>
      </c>
      <c r="F414" s="494">
        <v>0</v>
      </c>
      <c r="G414" s="494">
        <v>0</v>
      </c>
      <c r="H414" s="494">
        <v>3.61</v>
      </c>
      <c r="I414" s="494">
        <v>0</v>
      </c>
      <c r="J414" s="494">
        <v>0.19</v>
      </c>
      <c r="K414" s="52">
        <f t="shared" si="199"/>
        <v>3.8</v>
      </c>
      <c r="L414" s="224" t="s">
        <v>420</v>
      </c>
      <c r="M414" s="198"/>
      <c r="N414" s="279"/>
      <c r="O414" s="777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225"/>
    </row>
    <row r="415" spans="1:57" s="226" customFormat="1" x14ac:dyDescent="0.2">
      <c r="A415" s="731" t="s">
        <v>387</v>
      </c>
      <c r="B415" s="649" t="s">
        <v>205</v>
      </c>
      <c r="C415" s="649"/>
      <c r="D415" s="59" t="s">
        <v>198</v>
      </c>
      <c r="E415" s="541">
        <f>E416+E417+E418+E419+E420+E421+E422</f>
        <v>52.152300000000011</v>
      </c>
      <c r="F415" s="541">
        <f t="shared" ref="F415:J415" si="209">F416+F417+F418+F419+F420+F421+F422</f>
        <v>18.798400000000001</v>
      </c>
      <c r="G415" s="541">
        <f t="shared" si="209"/>
        <v>8.366200000000001</v>
      </c>
      <c r="H415" s="541">
        <f t="shared" si="209"/>
        <v>11.322700000000001</v>
      </c>
      <c r="I415" s="541">
        <f t="shared" si="209"/>
        <v>9.9450000000000003</v>
      </c>
      <c r="J415" s="541">
        <f t="shared" si="209"/>
        <v>3.72</v>
      </c>
      <c r="K415" s="52">
        <f t="shared" si="199"/>
        <v>52.152300000000004</v>
      </c>
      <c r="L415" s="55"/>
      <c r="M415" s="198"/>
      <c r="N415" s="199"/>
      <c r="O415" s="840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225"/>
    </row>
    <row r="416" spans="1:57" s="48" customFormat="1" x14ac:dyDescent="0.2">
      <c r="A416" s="782"/>
      <c r="B416" s="701"/>
      <c r="C416" s="701"/>
      <c r="D416" s="46">
        <v>2019</v>
      </c>
      <c r="E416" s="47">
        <f>E424+E432+E435</f>
        <v>28.442600000000002</v>
      </c>
      <c r="F416" s="47">
        <f>F424+F432+F435</f>
        <v>2.6870000000000003</v>
      </c>
      <c r="G416" s="47">
        <f>G424+G432+G435</f>
        <v>5.9143000000000008</v>
      </c>
      <c r="H416" s="47">
        <f>H424+H432+H435</f>
        <v>8.0363000000000007</v>
      </c>
      <c r="I416" s="47">
        <f>I424+I432+I435</f>
        <v>9.9450000000000003</v>
      </c>
      <c r="J416" s="47">
        <f t="shared" ref="F416:J417" si="210">J424+J432+J435</f>
        <v>1.86</v>
      </c>
      <c r="K416" s="52">
        <f t="shared" si="199"/>
        <v>28.442600000000002</v>
      </c>
      <c r="L416" s="52"/>
      <c r="M416" s="50"/>
      <c r="N416" s="51"/>
      <c r="O416" s="841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6"/>
    </row>
    <row r="417" spans="1:57" s="48" customFormat="1" x14ac:dyDescent="0.2">
      <c r="A417" s="782"/>
      <c r="B417" s="701"/>
      <c r="C417" s="701"/>
      <c r="D417" s="46">
        <v>2020</v>
      </c>
      <c r="E417" s="47">
        <f>E425+E433+E436</f>
        <v>10.2773</v>
      </c>
      <c r="F417" s="47">
        <f t="shared" si="210"/>
        <v>2.6790000000000003</v>
      </c>
      <c r="G417" s="47">
        <f t="shared" si="210"/>
        <v>2.4519000000000002</v>
      </c>
      <c r="H417" s="47">
        <f t="shared" si="210"/>
        <v>3.2864</v>
      </c>
      <c r="I417" s="47">
        <f t="shared" si="210"/>
        <v>0</v>
      </c>
      <c r="J417" s="47">
        <f t="shared" si="210"/>
        <v>1.86</v>
      </c>
      <c r="K417" s="52">
        <f t="shared" si="199"/>
        <v>10.2773</v>
      </c>
      <c r="L417" s="52"/>
      <c r="M417" s="50"/>
      <c r="N417" s="51"/>
      <c r="O417" s="841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6"/>
    </row>
    <row r="418" spans="1:57" s="48" customFormat="1" x14ac:dyDescent="0.2">
      <c r="A418" s="782"/>
      <c r="B418" s="701"/>
      <c r="C418" s="701"/>
      <c r="D418" s="46">
        <v>2021</v>
      </c>
      <c r="E418" s="47">
        <f>E426+E437</f>
        <v>2.68</v>
      </c>
      <c r="F418" s="47">
        <f t="shared" ref="F418:J419" si="211">F426+F437</f>
        <v>2.68</v>
      </c>
      <c r="G418" s="47">
        <f t="shared" si="211"/>
        <v>0</v>
      </c>
      <c r="H418" s="47">
        <f t="shared" si="211"/>
        <v>0</v>
      </c>
      <c r="I418" s="47">
        <f t="shared" si="211"/>
        <v>0</v>
      </c>
      <c r="J418" s="47">
        <f t="shared" si="211"/>
        <v>0</v>
      </c>
      <c r="K418" s="52">
        <f t="shared" si="199"/>
        <v>2.68</v>
      </c>
      <c r="L418" s="52"/>
      <c r="M418" s="50"/>
      <c r="N418" s="51"/>
      <c r="O418" s="841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6"/>
    </row>
    <row r="419" spans="1:57" s="48" customFormat="1" x14ac:dyDescent="0.2">
      <c r="A419" s="782"/>
      <c r="B419" s="701"/>
      <c r="C419" s="701"/>
      <c r="D419" s="46">
        <v>2022</v>
      </c>
      <c r="E419" s="47">
        <f>E427+E438</f>
        <v>2.68</v>
      </c>
      <c r="F419" s="47">
        <f t="shared" si="211"/>
        <v>2.68</v>
      </c>
      <c r="G419" s="47">
        <f t="shared" si="211"/>
        <v>0</v>
      </c>
      <c r="H419" s="47">
        <f t="shared" si="211"/>
        <v>0</v>
      </c>
      <c r="I419" s="47">
        <f t="shared" si="211"/>
        <v>0</v>
      </c>
      <c r="J419" s="47">
        <f t="shared" si="211"/>
        <v>0</v>
      </c>
      <c r="K419" s="52">
        <f t="shared" si="199"/>
        <v>2.68</v>
      </c>
      <c r="L419" s="52"/>
      <c r="M419" s="50"/>
      <c r="N419" s="51"/>
      <c r="O419" s="841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6"/>
    </row>
    <row r="420" spans="1:57" s="48" customFormat="1" x14ac:dyDescent="0.2">
      <c r="A420" s="782"/>
      <c r="B420" s="701"/>
      <c r="C420" s="701"/>
      <c r="D420" s="46">
        <v>2023</v>
      </c>
      <c r="E420" s="47">
        <f>E428+E439</f>
        <v>2.6893000000000002</v>
      </c>
      <c r="F420" s="47">
        <f t="shared" ref="F420:I422" si="212">F428+F439</f>
        <v>2.6893000000000002</v>
      </c>
      <c r="G420" s="47">
        <f t="shared" si="212"/>
        <v>0</v>
      </c>
      <c r="H420" s="47">
        <f t="shared" si="212"/>
        <v>0</v>
      </c>
      <c r="I420" s="47">
        <f t="shared" si="212"/>
        <v>0</v>
      </c>
      <c r="J420" s="47">
        <f t="shared" ref="J420" si="213">J428</f>
        <v>0</v>
      </c>
      <c r="K420" s="52">
        <f t="shared" si="199"/>
        <v>2.6893000000000002</v>
      </c>
      <c r="L420" s="52"/>
      <c r="M420" s="50"/>
      <c r="N420" s="51"/>
      <c r="O420" s="841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6"/>
    </row>
    <row r="421" spans="1:57" s="48" customFormat="1" x14ac:dyDescent="0.2">
      <c r="A421" s="782"/>
      <c r="B421" s="701"/>
      <c r="C421" s="701"/>
      <c r="D421" s="46">
        <v>2024</v>
      </c>
      <c r="E421" s="47">
        <f>E429+E440</f>
        <v>2.6908000000000003</v>
      </c>
      <c r="F421" s="47">
        <f t="shared" si="212"/>
        <v>2.6908000000000003</v>
      </c>
      <c r="G421" s="47">
        <f t="shared" si="212"/>
        <v>0</v>
      </c>
      <c r="H421" s="47">
        <f t="shared" si="212"/>
        <v>0</v>
      </c>
      <c r="I421" s="47">
        <f t="shared" si="212"/>
        <v>0</v>
      </c>
      <c r="J421" s="47">
        <f>J429+J440</f>
        <v>0</v>
      </c>
      <c r="K421" s="52">
        <f t="shared" si="199"/>
        <v>2.6908000000000003</v>
      </c>
      <c r="L421" s="52"/>
      <c r="M421" s="50"/>
      <c r="N421" s="51"/>
      <c r="O421" s="841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6"/>
    </row>
    <row r="422" spans="1:57" s="48" customFormat="1" ht="15.75" x14ac:dyDescent="0.2">
      <c r="A422" s="533"/>
      <c r="B422" s="499"/>
      <c r="C422" s="499"/>
      <c r="D422" s="46">
        <v>2025</v>
      </c>
      <c r="E422" s="47">
        <f>E430+E441</f>
        <v>2.6923000000000004</v>
      </c>
      <c r="F422" s="47">
        <f t="shared" si="212"/>
        <v>2.6923000000000004</v>
      </c>
      <c r="G422" s="47">
        <f t="shared" si="212"/>
        <v>0</v>
      </c>
      <c r="H422" s="47">
        <f t="shared" si="212"/>
        <v>0</v>
      </c>
      <c r="I422" s="47">
        <f t="shared" si="212"/>
        <v>0</v>
      </c>
      <c r="J422" s="47">
        <f>J430+J441</f>
        <v>0</v>
      </c>
      <c r="K422" s="52">
        <f t="shared" si="199"/>
        <v>2.6923000000000004</v>
      </c>
      <c r="L422" s="52"/>
      <c r="M422" s="50"/>
      <c r="N422" s="51"/>
      <c r="O422" s="551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6"/>
    </row>
    <row r="423" spans="1:57" s="48" customFormat="1" ht="12.75" customHeight="1" x14ac:dyDescent="0.2">
      <c r="A423" s="697" t="s">
        <v>388</v>
      </c>
      <c r="B423" s="631" t="s">
        <v>416</v>
      </c>
      <c r="C423" s="638" t="s">
        <v>893</v>
      </c>
      <c r="D423" s="46" t="s">
        <v>198</v>
      </c>
      <c r="E423" s="560">
        <f>E424+E425+E426+E427+E428+E429+E430</f>
        <v>36.721300000000006</v>
      </c>
      <c r="F423" s="560">
        <f t="shared" ref="F423:J423" si="214">F424+F425+F426+F427+F428+F429+F430</f>
        <v>18.564000000000004</v>
      </c>
      <c r="G423" s="560">
        <f t="shared" si="214"/>
        <v>3.4624000000000001</v>
      </c>
      <c r="H423" s="560">
        <f t="shared" si="214"/>
        <v>4.7499000000000002</v>
      </c>
      <c r="I423" s="560">
        <f t="shared" si="214"/>
        <v>9.9450000000000003</v>
      </c>
      <c r="J423" s="560">
        <f t="shared" si="214"/>
        <v>0</v>
      </c>
      <c r="K423" s="52">
        <f t="shared" si="199"/>
        <v>36.721299999999999</v>
      </c>
      <c r="L423" s="52"/>
      <c r="M423" s="50"/>
      <c r="N423" s="51"/>
      <c r="O423" s="746" t="s">
        <v>230</v>
      </c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6"/>
    </row>
    <row r="424" spans="1:57" s="48" customFormat="1" x14ac:dyDescent="0.2">
      <c r="A424" s="717"/>
      <c r="B424" s="701"/>
      <c r="C424" s="639"/>
      <c r="D424" s="470">
        <v>2019</v>
      </c>
      <c r="E424" s="567">
        <f>F424+G424+H424+I424+J424</f>
        <v>20.8093</v>
      </c>
      <c r="F424" s="567">
        <f>2652/1000</f>
        <v>2.6520000000000001</v>
      </c>
      <c r="G424" s="567">
        <v>3.4624000000000001</v>
      </c>
      <c r="H424" s="567">
        <v>4.7499000000000002</v>
      </c>
      <c r="I424" s="567">
        <v>9.9450000000000003</v>
      </c>
      <c r="J424" s="228">
        <v>0</v>
      </c>
      <c r="K424" s="52">
        <f t="shared" si="199"/>
        <v>20.8093</v>
      </c>
      <c r="L424" s="53"/>
      <c r="M424" s="50"/>
      <c r="N424" s="51"/>
      <c r="O424" s="747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6"/>
    </row>
    <row r="425" spans="1:57" s="48" customFormat="1" ht="12.75" customHeight="1" x14ac:dyDescent="0.2">
      <c r="A425" s="717"/>
      <c r="B425" s="701"/>
      <c r="C425" s="639"/>
      <c r="D425" s="470">
        <v>2020</v>
      </c>
      <c r="E425" s="567">
        <f>F425+G425+H425+I425+J425</f>
        <v>2.6520000000000001</v>
      </c>
      <c r="F425" s="567">
        <f t="shared" ref="F425:F430" si="215">2652/1000</f>
        <v>2.6520000000000001</v>
      </c>
      <c r="G425" s="567">
        <v>0</v>
      </c>
      <c r="H425" s="567">
        <v>0</v>
      </c>
      <c r="I425" s="567">
        <v>0</v>
      </c>
      <c r="J425" s="228">
        <v>0</v>
      </c>
      <c r="K425" s="52">
        <f t="shared" si="199"/>
        <v>2.6520000000000001</v>
      </c>
      <c r="L425" s="53"/>
      <c r="M425" s="50"/>
      <c r="N425" s="51"/>
      <c r="O425" s="701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6"/>
    </row>
    <row r="426" spans="1:57" s="48" customFormat="1" ht="15.75" customHeight="1" x14ac:dyDescent="0.2">
      <c r="A426" s="717"/>
      <c r="B426" s="701"/>
      <c r="C426" s="639"/>
      <c r="D426" s="470">
        <v>2021</v>
      </c>
      <c r="E426" s="567">
        <f t="shared" ref="E426:E430" si="216">F426+G426+H426+I426+J426</f>
        <v>2.6520000000000001</v>
      </c>
      <c r="F426" s="567">
        <f t="shared" si="215"/>
        <v>2.6520000000000001</v>
      </c>
      <c r="G426" s="567">
        <v>0</v>
      </c>
      <c r="H426" s="567">
        <v>0</v>
      </c>
      <c r="I426" s="567">
        <v>0</v>
      </c>
      <c r="J426" s="228">
        <v>0</v>
      </c>
      <c r="K426" s="52">
        <f t="shared" si="199"/>
        <v>2.6520000000000001</v>
      </c>
      <c r="L426" s="53"/>
      <c r="M426" s="50"/>
      <c r="N426" s="51"/>
      <c r="O426" s="701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6"/>
    </row>
    <row r="427" spans="1:57" s="48" customFormat="1" x14ac:dyDescent="0.2">
      <c r="A427" s="717"/>
      <c r="B427" s="701"/>
      <c r="C427" s="639"/>
      <c r="D427" s="470">
        <v>2022</v>
      </c>
      <c r="E427" s="567">
        <f t="shared" si="216"/>
        <v>2.6520000000000001</v>
      </c>
      <c r="F427" s="567">
        <f t="shared" si="215"/>
        <v>2.6520000000000001</v>
      </c>
      <c r="G427" s="567">
        <v>0</v>
      </c>
      <c r="H427" s="567">
        <v>0</v>
      </c>
      <c r="I427" s="567">
        <v>0</v>
      </c>
      <c r="J427" s="228">
        <v>0</v>
      </c>
      <c r="K427" s="52">
        <f t="shared" si="199"/>
        <v>2.6520000000000001</v>
      </c>
      <c r="L427" s="53"/>
      <c r="M427" s="50"/>
      <c r="N427" s="51"/>
      <c r="O427" s="701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6"/>
    </row>
    <row r="428" spans="1:57" s="48" customFormat="1" x14ac:dyDescent="0.2">
      <c r="A428" s="717"/>
      <c r="B428" s="701"/>
      <c r="C428" s="639"/>
      <c r="D428" s="470">
        <v>2023</v>
      </c>
      <c r="E428" s="567">
        <f t="shared" si="216"/>
        <v>2.6520000000000001</v>
      </c>
      <c r="F428" s="567">
        <f t="shared" si="215"/>
        <v>2.6520000000000001</v>
      </c>
      <c r="G428" s="567">
        <v>0</v>
      </c>
      <c r="H428" s="567">
        <v>0</v>
      </c>
      <c r="I428" s="567">
        <v>0</v>
      </c>
      <c r="J428" s="228">
        <v>0</v>
      </c>
      <c r="K428" s="52">
        <f t="shared" si="199"/>
        <v>2.6520000000000001</v>
      </c>
      <c r="L428" s="53"/>
      <c r="M428" s="50"/>
      <c r="N428" s="51"/>
      <c r="O428" s="701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6"/>
    </row>
    <row r="429" spans="1:57" s="48" customFormat="1" x14ac:dyDescent="0.2">
      <c r="A429" s="717"/>
      <c r="B429" s="701"/>
      <c r="C429" s="639"/>
      <c r="D429" s="470">
        <v>2024</v>
      </c>
      <c r="E429" s="567">
        <f>F429+G429+H429+I429+J429</f>
        <v>2.6520000000000001</v>
      </c>
      <c r="F429" s="567">
        <f t="shared" si="215"/>
        <v>2.6520000000000001</v>
      </c>
      <c r="G429" s="567">
        <v>0</v>
      </c>
      <c r="H429" s="567">
        <v>0</v>
      </c>
      <c r="I429" s="567">
        <v>0</v>
      </c>
      <c r="J429" s="228">
        <v>0</v>
      </c>
      <c r="K429" s="52">
        <f t="shared" si="199"/>
        <v>2.6520000000000001</v>
      </c>
      <c r="L429" s="53"/>
      <c r="M429" s="50"/>
      <c r="N429" s="51"/>
      <c r="O429" s="701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6"/>
    </row>
    <row r="430" spans="1:57" s="48" customFormat="1" x14ac:dyDescent="0.2">
      <c r="A430" s="507"/>
      <c r="B430" s="499"/>
      <c r="C430" s="473"/>
      <c r="D430" s="470">
        <v>2025</v>
      </c>
      <c r="E430" s="567">
        <f t="shared" si="216"/>
        <v>2.6520000000000001</v>
      </c>
      <c r="F430" s="567">
        <f t="shared" si="215"/>
        <v>2.6520000000000001</v>
      </c>
      <c r="G430" s="567">
        <v>0</v>
      </c>
      <c r="H430" s="567">
        <v>0</v>
      </c>
      <c r="I430" s="567">
        <v>0</v>
      </c>
      <c r="J430" s="228">
        <v>0</v>
      </c>
      <c r="K430" s="52">
        <f t="shared" si="199"/>
        <v>2.6520000000000001</v>
      </c>
      <c r="L430" s="53"/>
      <c r="M430" s="50"/>
      <c r="N430" s="51"/>
      <c r="O430" s="499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6"/>
    </row>
    <row r="431" spans="1:57" s="48" customFormat="1" ht="13.5" customHeight="1" x14ac:dyDescent="0.2">
      <c r="A431" s="665" t="s">
        <v>389</v>
      </c>
      <c r="B431" s="631" t="s">
        <v>417</v>
      </c>
      <c r="C431" s="472"/>
      <c r="D431" s="46" t="s">
        <v>198</v>
      </c>
      <c r="E431" s="560">
        <f>E432+E433</f>
        <v>15.196600000000002</v>
      </c>
      <c r="F431" s="560">
        <f t="shared" ref="F431:J431" si="217">F432+F433</f>
        <v>0</v>
      </c>
      <c r="G431" s="560">
        <f t="shared" si="217"/>
        <v>4.9038000000000004</v>
      </c>
      <c r="H431" s="560">
        <f t="shared" si="217"/>
        <v>6.5728</v>
      </c>
      <c r="I431" s="560">
        <f t="shared" si="217"/>
        <v>0</v>
      </c>
      <c r="J431" s="560">
        <f t="shared" si="217"/>
        <v>3.72</v>
      </c>
      <c r="K431" s="52">
        <f t="shared" si="199"/>
        <v>15.196600000000002</v>
      </c>
      <c r="L431" s="52"/>
      <c r="M431" s="50"/>
      <c r="N431" s="51"/>
      <c r="O431" s="765" t="s">
        <v>231</v>
      </c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6"/>
    </row>
    <row r="432" spans="1:57" s="48" customFormat="1" ht="25.5" customHeight="1" x14ac:dyDescent="0.2">
      <c r="A432" s="665"/>
      <c r="B432" s="648"/>
      <c r="C432" s="631" t="s">
        <v>891</v>
      </c>
      <c r="D432" s="470">
        <v>2019</v>
      </c>
      <c r="E432" s="567">
        <f>F432+G432+H432+I432+J432</f>
        <v>7.5983000000000009</v>
      </c>
      <c r="F432" s="567">
        <v>0</v>
      </c>
      <c r="G432" s="228">
        <v>2.4519000000000002</v>
      </c>
      <c r="H432" s="567">
        <v>3.2864</v>
      </c>
      <c r="I432" s="228">
        <v>0</v>
      </c>
      <c r="J432" s="228">
        <v>1.86</v>
      </c>
      <c r="K432" s="52">
        <f t="shared" si="199"/>
        <v>7.5983000000000009</v>
      </c>
      <c r="L432" s="52"/>
      <c r="M432" s="50"/>
      <c r="N432" s="51"/>
      <c r="O432" s="766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6"/>
    </row>
    <row r="433" spans="1:57" s="48" customFormat="1" ht="24.75" customHeight="1" x14ac:dyDescent="0.2">
      <c r="A433" s="665"/>
      <c r="B433" s="648"/>
      <c r="C433" s="632"/>
      <c r="D433" s="470">
        <v>2020</v>
      </c>
      <c r="E433" s="567">
        <f>F433+G433+H433+I433+J433</f>
        <v>7.5983000000000009</v>
      </c>
      <c r="F433" s="567">
        <v>0</v>
      </c>
      <c r="G433" s="228">
        <v>2.4519000000000002</v>
      </c>
      <c r="H433" s="567">
        <v>3.2864</v>
      </c>
      <c r="I433" s="228">
        <v>0</v>
      </c>
      <c r="J433" s="228">
        <v>1.86</v>
      </c>
      <c r="K433" s="52">
        <f t="shared" si="199"/>
        <v>7.5983000000000009</v>
      </c>
      <c r="L433" s="52"/>
      <c r="M433" s="50"/>
      <c r="N433" s="51"/>
      <c r="O433" s="816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6"/>
    </row>
    <row r="434" spans="1:57" s="48" customFormat="1" ht="22.5" customHeight="1" x14ac:dyDescent="0.2">
      <c r="A434" s="483" t="s">
        <v>836</v>
      </c>
      <c r="B434" s="631" t="s">
        <v>837</v>
      </c>
      <c r="C434" s="499"/>
      <c r="D434" s="46" t="s">
        <v>198</v>
      </c>
      <c r="E434" s="47">
        <f>E435+E436+E437+E438+E439+E440+E441</f>
        <v>0.2344</v>
      </c>
      <c r="F434" s="47">
        <f>F435+F436+F437+F438+F439+F440+F441</f>
        <v>0.2344</v>
      </c>
      <c r="G434" s="47">
        <f t="shared" ref="G434:J434" si="218">G435+G436+G437+G438+G439+G440+G441</f>
        <v>0</v>
      </c>
      <c r="H434" s="47">
        <f t="shared" si="218"/>
        <v>0</v>
      </c>
      <c r="I434" s="47">
        <f t="shared" si="218"/>
        <v>0</v>
      </c>
      <c r="J434" s="47">
        <f t="shared" si="218"/>
        <v>0</v>
      </c>
      <c r="K434" s="52">
        <f t="shared" si="199"/>
        <v>0.2344</v>
      </c>
      <c r="L434" s="52"/>
      <c r="M434" s="50"/>
      <c r="N434" s="51"/>
      <c r="O434" s="765" t="s">
        <v>230</v>
      </c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6"/>
    </row>
    <row r="435" spans="1:57" s="48" customFormat="1" ht="22.5" customHeight="1" x14ac:dyDescent="0.2">
      <c r="A435" s="229"/>
      <c r="B435" s="648"/>
      <c r="C435" s="490" t="s">
        <v>415</v>
      </c>
      <c r="D435" s="470">
        <v>2019</v>
      </c>
      <c r="E435" s="567">
        <f>F435+G435+H435+I435+J435</f>
        <v>3.5000000000000003E-2</v>
      </c>
      <c r="F435" s="567">
        <v>3.5000000000000003E-2</v>
      </c>
      <c r="G435" s="61">
        <v>0</v>
      </c>
      <c r="H435" s="567">
        <v>0</v>
      </c>
      <c r="I435" s="228">
        <v>0</v>
      </c>
      <c r="J435" s="228">
        <v>0</v>
      </c>
      <c r="K435" s="52">
        <f t="shared" si="199"/>
        <v>3.5000000000000003E-2</v>
      </c>
      <c r="L435" s="52"/>
      <c r="M435" s="50"/>
      <c r="N435" s="51"/>
      <c r="O435" s="766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6"/>
    </row>
    <row r="436" spans="1:57" s="48" customFormat="1" x14ac:dyDescent="0.2">
      <c r="A436" s="229"/>
      <c r="B436" s="648"/>
      <c r="C436" s="678" t="s">
        <v>892</v>
      </c>
      <c r="D436" s="470">
        <v>2020</v>
      </c>
      <c r="E436" s="567">
        <f t="shared" ref="E436" si="219">F436+G436+H436+I436+J436</f>
        <v>2.7E-2</v>
      </c>
      <c r="F436" s="567">
        <v>2.7E-2</v>
      </c>
      <c r="G436" s="61">
        <v>0</v>
      </c>
      <c r="H436" s="567">
        <v>0</v>
      </c>
      <c r="I436" s="228">
        <v>0</v>
      </c>
      <c r="J436" s="228">
        <v>0</v>
      </c>
      <c r="K436" s="52">
        <f t="shared" si="199"/>
        <v>2.7E-2</v>
      </c>
      <c r="L436" s="52"/>
      <c r="M436" s="50"/>
      <c r="N436" s="51"/>
      <c r="O436" s="766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6"/>
    </row>
    <row r="437" spans="1:57" s="48" customFormat="1" x14ac:dyDescent="0.2">
      <c r="A437" s="229"/>
      <c r="B437" s="648"/>
      <c r="C437" s="678"/>
      <c r="D437" s="470">
        <v>2021</v>
      </c>
      <c r="E437" s="567">
        <f>F437+G437+H437+I437+J437</f>
        <v>2.8000000000000001E-2</v>
      </c>
      <c r="F437" s="567">
        <v>2.8000000000000001E-2</v>
      </c>
      <c r="G437" s="228">
        <v>0</v>
      </c>
      <c r="H437" s="567">
        <v>0</v>
      </c>
      <c r="I437" s="228">
        <v>0</v>
      </c>
      <c r="J437" s="228">
        <v>0</v>
      </c>
      <c r="K437" s="52">
        <f t="shared" si="199"/>
        <v>2.8000000000000001E-2</v>
      </c>
      <c r="L437" s="52"/>
      <c r="M437" s="50"/>
      <c r="N437" s="51"/>
      <c r="O437" s="816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6"/>
    </row>
    <row r="438" spans="1:57" s="48" customFormat="1" x14ac:dyDescent="0.2">
      <c r="A438" s="229"/>
      <c r="B438" s="648"/>
      <c r="C438" s="678"/>
      <c r="D438" s="470">
        <v>2022</v>
      </c>
      <c r="E438" s="567">
        <f t="shared" ref="E438:E441" si="220">F438+G438+H438+I438+J438</f>
        <v>2.8000000000000001E-2</v>
      </c>
      <c r="F438" s="567">
        <v>2.8000000000000001E-2</v>
      </c>
      <c r="G438" s="228">
        <v>0</v>
      </c>
      <c r="H438" s="567">
        <v>0</v>
      </c>
      <c r="I438" s="228">
        <v>0</v>
      </c>
      <c r="J438" s="228">
        <v>0</v>
      </c>
      <c r="K438" s="52">
        <f t="shared" si="199"/>
        <v>2.8000000000000001E-2</v>
      </c>
      <c r="L438" s="52"/>
      <c r="M438" s="50"/>
      <c r="N438" s="51"/>
      <c r="O438" s="542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6"/>
    </row>
    <row r="439" spans="1:57" s="48" customFormat="1" x14ac:dyDescent="0.2">
      <c r="A439" s="229"/>
      <c r="B439" s="648"/>
      <c r="C439" s="678"/>
      <c r="D439" s="470">
        <v>2023</v>
      </c>
      <c r="E439" s="567">
        <f t="shared" si="220"/>
        <v>3.73E-2</v>
      </c>
      <c r="F439" s="567">
        <v>3.73E-2</v>
      </c>
      <c r="G439" s="228">
        <v>0</v>
      </c>
      <c r="H439" s="567">
        <v>0</v>
      </c>
      <c r="I439" s="228">
        <v>0</v>
      </c>
      <c r="J439" s="228">
        <v>0</v>
      </c>
      <c r="K439" s="52">
        <f t="shared" si="199"/>
        <v>3.73E-2</v>
      </c>
      <c r="L439" s="52"/>
      <c r="M439" s="50"/>
      <c r="N439" s="51"/>
      <c r="O439" s="542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6"/>
    </row>
    <row r="440" spans="1:57" s="48" customFormat="1" x14ac:dyDescent="0.2">
      <c r="A440" s="229"/>
      <c r="B440" s="648"/>
      <c r="C440" s="678"/>
      <c r="D440" s="470">
        <v>2024</v>
      </c>
      <c r="E440" s="567">
        <f t="shared" si="220"/>
        <v>3.8800000000000001E-2</v>
      </c>
      <c r="F440" s="567">
        <v>3.8800000000000001E-2</v>
      </c>
      <c r="G440" s="228">
        <v>0</v>
      </c>
      <c r="H440" s="567">
        <v>0</v>
      </c>
      <c r="I440" s="228">
        <v>0</v>
      </c>
      <c r="J440" s="228">
        <v>0</v>
      </c>
      <c r="K440" s="52">
        <f t="shared" si="199"/>
        <v>3.8800000000000001E-2</v>
      </c>
      <c r="L440" s="52"/>
      <c r="M440" s="50"/>
      <c r="N440" s="51"/>
      <c r="O440" s="542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6"/>
    </row>
    <row r="441" spans="1:57" s="48" customFormat="1" x14ac:dyDescent="0.2">
      <c r="A441" s="229"/>
      <c r="B441" s="632"/>
      <c r="C441" s="678"/>
      <c r="D441" s="470">
        <v>2025</v>
      </c>
      <c r="E441" s="567">
        <f t="shared" si="220"/>
        <v>4.0300000000000002E-2</v>
      </c>
      <c r="F441" s="567">
        <v>4.0300000000000002E-2</v>
      </c>
      <c r="G441" s="228">
        <v>0</v>
      </c>
      <c r="H441" s="567">
        <v>0</v>
      </c>
      <c r="I441" s="228">
        <v>0</v>
      </c>
      <c r="J441" s="228">
        <v>0</v>
      </c>
      <c r="K441" s="52">
        <f t="shared" si="199"/>
        <v>4.0300000000000002E-2</v>
      </c>
      <c r="L441" s="52"/>
      <c r="M441" s="50"/>
      <c r="N441" s="51"/>
      <c r="O441" s="542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6"/>
    </row>
    <row r="442" spans="1:57" s="48" customFormat="1" x14ac:dyDescent="0.2">
      <c r="A442" s="652">
        <v>7</v>
      </c>
      <c r="B442" s="649" t="s">
        <v>605</v>
      </c>
      <c r="C442" s="758"/>
      <c r="D442" s="46" t="s">
        <v>198</v>
      </c>
      <c r="E442" s="47">
        <f>E443+E444+E445+E446+E447+E448+E449+E450+E451+E452+E453+E454</f>
        <v>8.3760999999999974</v>
      </c>
      <c r="F442" s="47">
        <f t="shared" ref="F442:J442" si="221">F443+F444+F445+F446+F447+F448+F449+F450+F451+F452+F453+F454</f>
        <v>8.3760999999999974</v>
      </c>
      <c r="G442" s="47">
        <f t="shared" si="221"/>
        <v>0</v>
      </c>
      <c r="H442" s="47">
        <f t="shared" si="221"/>
        <v>0</v>
      </c>
      <c r="I442" s="47">
        <f t="shared" si="221"/>
        <v>0</v>
      </c>
      <c r="J442" s="47">
        <f t="shared" si="221"/>
        <v>0</v>
      </c>
      <c r="K442" s="52">
        <f t="shared" si="199"/>
        <v>8.3760999999999974</v>
      </c>
      <c r="L442" s="52"/>
      <c r="M442" s="50"/>
      <c r="N442" s="51"/>
      <c r="O442" s="542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6"/>
    </row>
    <row r="443" spans="1:57" s="48" customFormat="1" x14ac:dyDescent="0.2">
      <c r="A443" s="717"/>
      <c r="B443" s="701"/>
      <c r="C443" s="701"/>
      <c r="D443" s="46">
        <v>2019</v>
      </c>
      <c r="E443" s="47">
        <f t="shared" ref="E443:J454" si="222">E456</f>
        <v>6.7699999999999996E-2</v>
      </c>
      <c r="F443" s="47">
        <f t="shared" si="222"/>
        <v>6.7699999999999996E-2</v>
      </c>
      <c r="G443" s="47">
        <f t="shared" si="222"/>
        <v>0</v>
      </c>
      <c r="H443" s="47">
        <f t="shared" si="222"/>
        <v>0</v>
      </c>
      <c r="I443" s="47">
        <f t="shared" si="222"/>
        <v>0</v>
      </c>
      <c r="J443" s="47">
        <f t="shared" si="222"/>
        <v>0</v>
      </c>
      <c r="K443" s="52">
        <f t="shared" si="199"/>
        <v>6.7699999999999996E-2</v>
      </c>
      <c r="L443" s="52"/>
      <c r="M443" s="50"/>
      <c r="N443" s="51"/>
      <c r="O443" s="542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6"/>
    </row>
    <row r="444" spans="1:57" s="48" customFormat="1" x14ac:dyDescent="0.2">
      <c r="A444" s="717"/>
      <c r="B444" s="701"/>
      <c r="C444" s="701"/>
      <c r="D444" s="46">
        <v>2020</v>
      </c>
      <c r="E444" s="47">
        <f t="shared" si="222"/>
        <v>0.60599999999999998</v>
      </c>
      <c r="F444" s="47">
        <f t="shared" si="222"/>
        <v>0.60599999999999998</v>
      </c>
      <c r="G444" s="47">
        <f t="shared" si="222"/>
        <v>0</v>
      </c>
      <c r="H444" s="47">
        <f t="shared" si="222"/>
        <v>0</v>
      </c>
      <c r="I444" s="47">
        <f t="shared" si="222"/>
        <v>0</v>
      </c>
      <c r="J444" s="47">
        <f t="shared" si="222"/>
        <v>0</v>
      </c>
      <c r="K444" s="52">
        <f t="shared" si="199"/>
        <v>0.60599999999999998</v>
      </c>
      <c r="L444" s="52"/>
      <c r="M444" s="50"/>
      <c r="N444" s="51"/>
      <c r="O444" s="542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6"/>
    </row>
    <row r="445" spans="1:57" s="48" customFormat="1" x14ac:dyDescent="0.2">
      <c r="A445" s="717"/>
      <c r="B445" s="701"/>
      <c r="C445" s="701"/>
      <c r="D445" s="46">
        <v>2021</v>
      </c>
      <c r="E445" s="47">
        <f t="shared" si="222"/>
        <v>0.62519999999999998</v>
      </c>
      <c r="F445" s="47">
        <f t="shared" si="222"/>
        <v>0.62519999999999998</v>
      </c>
      <c r="G445" s="47">
        <f t="shared" si="222"/>
        <v>0</v>
      </c>
      <c r="H445" s="47">
        <f t="shared" si="222"/>
        <v>0</v>
      </c>
      <c r="I445" s="47">
        <f t="shared" si="222"/>
        <v>0</v>
      </c>
      <c r="J445" s="47">
        <f t="shared" si="222"/>
        <v>0</v>
      </c>
      <c r="K445" s="52">
        <f t="shared" si="199"/>
        <v>0.62519999999999998</v>
      </c>
      <c r="L445" s="52"/>
      <c r="M445" s="50"/>
      <c r="N445" s="51"/>
      <c r="O445" s="542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6"/>
    </row>
    <row r="446" spans="1:57" s="48" customFormat="1" x14ac:dyDescent="0.2">
      <c r="A446" s="717"/>
      <c r="B446" s="701"/>
      <c r="C446" s="701"/>
      <c r="D446" s="46">
        <v>2022</v>
      </c>
      <c r="E446" s="47">
        <f t="shared" si="222"/>
        <v>0.65449999999999997</v>
      </c>
      <c r="F446" s="47">
        <f t="shared" si="222"/>
        <v>0.65449999999999997</v>
      </c>
      <c r="G446" s="47">
        <f t="shared" si="222"/>
        <v>0</v>
      </c>
      <c r="H446" s="47">
        <f t="shared" si="222"/>
        <v>0</v>
      </c>
      <c r="I446" s="47">
        <f t="shared" si="222"/>
        <v>0</v>
      </c>
      <c r="J446" s="47">
        <f t="shared" si="222"/>
        <v>0</v>
      </c>
      <c r="K446" s="52">
        <f t="shared" si="199"/>
        <v>0.65449999999999997</v>
      </c>
      <c r="L446" s="52"/>
      <c r="M446" s="50"/>
      <c r="N446" s="51"/>
      <c r="O446" s="542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6"/>
    </row>
    <row r="447" spans="1:57" s="48" customFormat="1" x14ac:dyDescent="0.2">
      <c r="A447" s="717"/>
      <c r="B447" s="701"/>
      <c r="C447" s="701"/>
      <c r="D447" s="46">
        <v>2023</v>
      </c>
      <c r="E447" s="47">
        <f t="shared" si="222"/>
        <v>1.5003</v>
      </c>
      <c r="F447" s="47">
        <f t="shared" si="222"/>
        <v>1.5003</v>
      </c>
      <c r="G447" s="47">
        <f t="shared" si="222"/>
        <v>0</v>
      </c>
      <c r="H447" s="47">
        <f t="shared" si="222"/>
        <v>0</v>
      </c>
      <c r="I447" s="47">
        <f t="shared" si="222"/>
        <v>0</v>
      </c>
      <c r="J447" s="47">
        <f t="shared" si="222"/>
        <v>0</v>
      </c>
      <c r="K447" s="52">
        <f t="shared" si="199"/>
        <v>1.5003</v>
      </c>
      <c r="L447" s="52"/>
      <c r="M447" s="50"/>
      <c r="N447" s="51"/>
      <c r="O447" s="542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6"/>
    </row>
    <row r="448" spans="1:57" s="48" customFormat="1" x14ac:dyDescent="0.2">
      <c r="A448" s="717"/>
      <c r="B448" s="701"/>
      <c r="C448" s="701"/>
      <c r="D448" s="46">
        <v>2024</v>
      </c>
      <c r="E448" s="47">
        <f t="shared" si="222"/>
        <v>0.54079999999999995</v>
      </c>
      <c r="F448" s="47">
        <f t="shared" si="222"/>
        <v>0.54079999999999995</v>
      </c>
      <c r="G448" s="47">
        <f t="shared" si="222"/>
        <v>0</v>
      </c>
      <c r="H448" s="47">
        <f t="shared" si="222"/>
        <v>0</v>
      </c>
      <c r="I448" s="47">
        <f t="shared" si="222"/>
        <v>0</v>
      </c>
      <c r="J448" s="47">
        <f t="shared" si="222"/>
        <v>0</v>
      </c>
      <c r="K448" s="52">
        <f t="shared" si="199"/>
        <v>0.54079999999999995</v>
      </c>
      <c r="L448" s="52"/>
      <c r="M448" s="50"/>
      <c r="N448" s="51"/>
      <c r="O448" s="542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6"/>
    </row>
    <row r="449" spans="1:57" s="48" customFormat="1" x14ac:dyDescent="0.2">
      <c r="A449" s="717"/>
      <c r="B449" s="701"/>
      <c r="C449" s="701"/>
      <c r="D449" s="46">
        <v>2025</v>
      </c>
      <c r="E449" s="47">
        <f t="shared" si="222"/>
        <v>0.3992</v>
      </c>
      <c r="F449" s="47">
        <f t="shared" si="222"/>
        <v>0.3992</v>
      </c>
      <c r="G449" s="47">
        <f t="shared" si="222"/>
        <v>0</v>
      </c>
      <c r="H449" s="47">
        <f t="shared" si="222"/>
        <v>0</v>
      </c>
      <c r="I449" s="47">
        <f t="shared" si="222"/>
        <v>0</v>
      </c>
      <c r="J449" s="47">
        <f t="shared" si="222"/>
        <v>0</v>
      </c>
      <c r="K449" s="52">
        <f t="shared" si="199"/>
        <v>0.3992</v>
      </c>
      <c r="L449" s="52"/>
      <c r="M449" s="50"/>
      <c r="N449" s="51"/>
      <c r="O449" s="542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6"/>
    </row>
    <row r="450" spans="1:57" s="48" customFormat="1" x14ac:dyDescent="0.2">
      <c r="A450" s="717"/>
      <c r="B450" s="701"/>
      <c r="C450" s="701"/>
      <c r="D450" s="46">
        <v>2026</v>
      </c>
      <c r="E450" s="47">
        <f t="shared" si="222"/>
        <v>0.63500000000000001</v>
      </c>
      <c r="F450" s="47">
        <f t="shared" si="222"/>
        <v>0.63500000000000001</v>
      </c>
      <c r="G450" s="47">
        <f t="shared" si="222"/>
        <v>0</v>
      </c>
      <c r="H450" s="47">
        <f t="shared" si="222"/>
        <v>0</v>
      </c>
      <c r="I450" s="47">
        <f t="shared" si="222"/>
        <v>0</v>
      </c>
      <c r="J450" s="47">
        <f t="shared" si="222"/>
        <v>0</v>
      </c>
      <c r="K450" s="52">
        <f t="shared" si="199"/>
        <v>0.63500000000000001</v>
      </c>
      <c r="L450" s="52"/>
      <c r="M450" s="50"/>
      <c r="N450" s="51"/>
      <c r="O450" s="542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6"/>
    </row>
    <row r="451" spans="1:57" s="48" customFormat="1" x14ac:dyDescent="0.2">
      <c r="A451" s="717"/>
      <c r="B451" s="701"/>
      <c r="C451" s="701"/>
      <c r="D451" s="46">
        <v>2027</v>
      </c>
      <c r="E451" s="47">
        <f t="shared" si="222"/>
        <v>0.61529999999999996</v>
      </c>
      <c r="F451" s="47">
        <f t="shared" si="222"/>
        <v>0.61529999999999996</v>
      </c>
      <c r="G451" s="47">
        <f t="shared" si="222"/>
        <v>0</v>
      </c>
      <c r="H451" s="47">
        <f t="shared" si="222"/>
        <v>0</v>
      </c>
      <c r="I451" s="47">
        <f t="shared" si="222"/>
        <v>0</v>
      </c>
      <c r="J451" s="47">
        <f t="shared" si="222"/>
        <v>0</v>
      </c>
      <c r="K451" s="52">
        <f t="shared" si="199"/>
        <v>0.61529999999999996</v>
      </c>
      <c r="L451" s="52"/>
      <c r="M451" s="50"/>
      <c r="N451" s="51"/>
      <c r="O451" s="542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6"/>
    </row>
    <row r="452" spans="1:57" s="48" customFormat="1" x14ac:dyDescent="0.2">
      <c r="A452" s="717"/>
      <c r="B452" s="701"/>
      <c r="C452" s="701"/>
      <c r="D452" s="46">
        <v>2028</v>
      </c>
      <c r="E452" s="47">
        <f t="shared" si="222"/>
        <v>0.60940000000000005</v>
      </c>
      <c r="F452" s="47">
        <f t="shared" si="222"/>
        <v>0.60940000000000005</v>
      </c>
      <c r="G452" s="47">
        <f t="shared" si="222"/>
        <v>0</v>
      </c>
      <c r="H452" s="47">
        <f t="shared" si="222"/>
        <v>0</v>
      </c>
      <c r="I452" s="47">
        <f t="shared" si="222"/>
        <v>0</v>
      </c>
      <c r="J452" s="47">
        <f t="shared" si="222"/>
        <v>0</v>
      </c>
      <c r="K452" s="52">
        <f t="shared" si="199"/>
        <v>0.60940000000000005</v>
      </c>
      <c r="L452" s="52"/>
      <c r="M452" s="50"/>
      <c r="N452" s="51"/>
      <c r="O452" s="542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6"/>
    </row>
    <row r="453" spans="1:57" s="48" customFormat="1" x14ac:dyDescent="0.2">
      <c r="A453" s="717"/>
      <c r="B453" s="701"/>
      <c r="C453" s="701"/>
      <c r="D453" s="46">
        <v>2029</v>
      </c>
      <c r="E453" s="47">
        <f t="shared" si="222"/>
        <v>1.5603</v>
      </c>
      <c r="F453" s="47">
        <f t="shared" si="222"/>
        <v>1.5603</v>
      </c>
      <c r="G453" s="47">
        <f t="shared" si="222"/>
        <v>0</v>
      </c>
      <c r="H453" s="47">
        <f t="shared" si="222"/>
        <v>0</v>
      </c>
      <c r="I453" s="47">
        <f t="shared" si="222"/>
        <v>0</v>
      </c>
      <c r="J453" s="47">
        <f t="shared" si="222"/>
        <v>0</v>
      </c>
      <c r="K453" s="52">
        <f t="shared" si="199"/>
        <v>1.5603</v>
      </c>
      <c r="L453" s="52"/>
      <c r="M453" s="50"/>
      <c r="N453" s="51"/>
      <c r="O453" s="542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6"/>
    </row>
    <row r="454" spans="1:57" s="48" customFormat="1" x14ac:dyDescent="0.2">
      <c r="A454" s="734"/>
      <c r="B454" s="702"/>
      <c r="C454" s="702"/>
      <c r="D454" s="46">
        <v>2030</v>
      </c>
      <c r="E454" s="47">
        <f t="shared" si="222"/>
        <v>0.56240000000000001</v>
      </c>
      <c r="F454" s="47">
        <f t="shared" si="222"/>
        <v>0.56240000000000001</v>
      </c>
      <c r="G454" s="47">
        <f t="shared" si="222"/>
        <v>0</v>
      </c>
      <c r="H454" s="47">
        <f t="shared" si="222"/>
        <v>0</v>
      </c>
      <c r="I454" s="47">
        <f t="shared" si="222"/>
        <v>0</v>
      </c>
      <c r="J454" s="47">
        <f t="shared" si="222"/>
        <v>0</v>
      </c>
      <c r="K454" s="52">
        <f t="shared" si="199"/>
        <v>0.56240000000000001</v>
      </c>
      <c r="L454" s="52"/>
      <c r="M454" s="50"/>
      <c r="N454" s="51"/>
      <c r="O454" s="542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6"/>
    </row>
    <row r="455" spans="1:57" s="48" customFormat="1" ht="12.75" customHeight="1" x14ac:dyDescent="0.2">
      <c r="A455" s="662" t="s">
        <v>380</v>
      </c>
      <c r="B455" s="631" t="s">
        <v>834</v>
      </c>
      <c r="C455" s="500"/>
      <c r="D455" s="46" t="s">
        <v>198</v>
      </c>
      <c r="E455" s="47">
        <f>SUM(E456:E467)</f>
        <v>8.3760999999999974</v>
      </c>
      <c r="F455" s="47">
        <f t="shared" ref="F455:J455" si="223">SUM(F456:F467)</f>
        <v>8.3760999999999974</v>
      </c>
      <c r="G455" s="47">
        <f t="shared" si="223"/>
        <v>0</v>
      </c>
      <c r="H455" s="47">
        <f t="shared" si="223"/>
        <v>0</v>
      </c>
      <c r="I455" s="47">
        <f t="shared" si="223"/>
        <v>0</v>
      </c>
      <c r="J455" s="47">
        <f t="shared" si="223"/>
        <v>0</v>
      </c>
      <c r="K455" s="52">
        <f t="shared" ref="K455:K517" si="224">F455+G455+H455+I455+J455</f>
        <v>8.3760999999999974</v>
      </c>
      <c r="L455" s="52"/>
      <c r="M455" s="50"/>
      <c r="N455" s="51"/>
      <c r="O455" s="746" t="s">
        <v>739</v>
      </c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6"/>
    </row>
    <row r="456" spans="1:57" s="48" customFormat="1" ht="20.25" customHeight="1" x14ac:dyDescent="0.2">
      <c r="A456" s="717"/>
      <c r="B456" s="648"/>
      <c r="C456" s="490" t="s">
        <v>761</v>
      </c>
      <c r="D456" s="470">
        <v>2019</v>
      </c>
      <c r="E456" s="567">
        <f>F456+G456+H456+I456+J456</f>
        <v>6.7699999999999996E-2</v>
      </c>
      <c r="F456" s="567">
        <v>6.7699999999999996E-2</v>
      </c>
      <c r="G456" s="61">
        <v>0</v>
      </c>
      <c r="H456" s="567">
        <v>0</v>
      </c>
      <c r="I456" s="228">
        <v>0</v>
      </c>
      <c r="J456" s="228">
        <v>0</v>
      </c>
      <c r="K456" s="52">
        <f t="shared" si="224"/>
        <v>6.7699999999999996E-2</v>
      </c>
      <c r="L456" s="52"/>
      <c r="M456" s="50"/>
      <c r="N456" s="51"/>
      <c r="O456" s="701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6"/>
    </row>
    <row r="457" spans="1:57" s="48" customFormat="1" x14ac:dyDescent="0.2">
      <c r="A457" s="717"/>
      <c r="B457" s="648"/>
      <c r="C457" s="631" t="s">
        <v>909</v>
      </c>
      <c r="D457" s="470">
        <v>2020</v>
      </c>
      <c r="E457" s="567">
        <f t="shared" ref="E457:E467" si="225">F457+G457+H457+I457+J457</f>
        <v>0.60599999999999998</v>
      </c>
      <c r="F457" s="567">
        <v>0.60599999999999998</v>
      </c>
      <c r="G457" s="61">
        <v>0</v>
      </c>
      <c r="H457" s="567">
        <v>0</v>
      </c>
      <c r="I457" s="228">
        <v>0</v>
      </c>
      <c r="J457" s="228">
        <v>0</v>
      </c>
      <c r="K457" s="52">
        <f t="shared" si="224"/>
        <v>0.60599999999999998</v>
      </c>
      <c r="L457" s="52"/>
      <c r="M457" s="50"/>
      <c r="N457" s="51"/>
      <c r="O457" s="701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6"/>
    </row>
    <row r="458" spans="1:57" s="48" customFormat="1" ht="12.75" customHeight="1" x14ac:dyDescent="0.2">
      <c r="A458" s="717"/>
      <c r="B458" s="648"/>
      <c r="C458" s="648"/>
      <c r="D458" s="470">
        <v>2021</v>
      </c>
      <c r="E458" s="567">
        <f t="shared" si="225"/>
        <v>0.62519999999999998</v>
      </c>
      <c r="F458" s="567">
        <v>0.62519999999999998</v>
      </c>
      <c r="G458" s="61">
        <v>0</v>
      </c>
      <c r="H458" s="567">
        <v>0</v>
      </c>
      <c r="I458" s="228">
        <v>0</v>
      </c>
      <c r="J458" s="228">
        <v>0</v>
      </c>
      <c r="K458" s="52">
        <f t="shared" si="224"/>
        <v>0.62519999999999998</v>
      </c>
      <c r="L458" s="52"/>
      <c r="M458" s="50"/>
      <c r="N458" s="51"/>
      <c r="O458" s="701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6"/>
    </row>
    <row r="459" spans="1:57" s="48" customFormat="1" x14ac:dyDescent="0.2">
      <c r="A459" s="717"/>
      <c r="B459" s="648"/>
      <c r="C459" s="648"/>
      <c r="D459" s="470">
        <v>2022</v>
      </c>
      <c r="E459" s="567">
        <f t="shared" si="225"/>
        <v>0.65449999999999997</v>
      </c>
      <c r="F459" s="567">
        <v>0.65449999999999997</v>
      </c>
      <c r="G459" s="61">
        <v>0</v>
      </c>
      <c r="H459" s="567">
        <v>0</v>
      </c>
      <c r="I459" s="228">
        <v>0</v>
      </c>
      <c r="J459" s="228">
        <v>0</v>
      </c>
      <c r="K459" s="52">
        <f t="shared" si="224"/>
        <v>0.65449999999999997</v>
      </c>
      <c r="L459" s="52"/>
      <c r="M459" s="50"/>
      <c r="N459" s="51"/>
      <c r="O459" s="701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6"/>
    </row>
    <row r="460" spans="1:57" s="48" customFormat="1" x14ac:dyDescent="0.2">
      <c r="A460" s="717"/>
      <c r="B460" s="648"/>
      <c r="C460" s="648"/>
      <c r="D460" s="470">
        <v>2023</v>
      </c>
      <c r="E460" s="567">
        <f t="shared" si="225"/>
        <v>1.5003</v>
      </c>
      <c r="F460" s="567">
        <v>1.5003</v>
      </c>
      <c r="G460" s="61">
        <v>0</v>
      </c>
      <c r="H460" s="567">
        <v>0</v>
      </c>
      <c r="I460" s="228">
        <v>0</v>
      </c>
      <c r="J460" s="228">
        <v>0</v>
      </c>
      <c r="K460" s="52">
        <f t="shared" si="224"/>
        <v>1.5003</v>
      </c>
      <c r="L460" s="52"/>
      <c r="M460" s="50"/>
      <c r="N460" s="51"/>
      <c r="O460" s="701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6"/>
    </row>
    <row r="461" spans="1:57" s="48" customFormat="1" x14ac:dyDescent="0.2">
      <c r="A461" s="717"/>
      <c r="B461" s="648"/>
      <c r="C461" s="648"/>
      <c r="D461" s="470">
        <v>2024</v>
      </c>
      <c r="E461" s="567">
        <f t="shared" si="225"/>
        <v>0.54079999999999995</v>
      </c>
      <c r="F461" s="567">
        <v>0.54079999999999995</v>
      </c>
      <c r="G461" s="61">
        <v>0</v>
      </c>
      <c r="H461" s="567">
        <v>0</v>
      </c>
      <c r="I461" s="228">
        <v>0</v>
      </c>
      <c r="J461" s="228">
        <v>0</v>
      </c>
      <c r="K461" s="52">
        <f t="shared" si="224"/>
        <v>0.54079999999999995</v>
      </c>
      <c r="L461" s="52"/>
      <c r="M461" s="50"/>
      <c r="N461" s="51"/>
      <c r="O461" s="701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6"/>
    </row>
    <row r="462" spans="1:57" s="48" customFormat="1" x14ac:dyDescent="0.2">
      <c r="A462" s="717"/>
      <c r="B462" s="648"/>
      <c r="C462" s="632"/>
      <c r="D462" s="470">
        <v>2025</v>
      </c>
      <c r="E462" s="567">
        <f t="shared" si="225"/>
        <v>0.3992</v>
      </c>
      <c r="F462" s="567">
        <v>0.3992</v>
      </c>
      <c r="G462" s="61">
        <v>0</v>
      </c>
      <c r="H462" s="567">
        <v>0</v>
      </c>
      <c r="I462" s="228">
        <v>0</v>
      </c>
      <c r="J462" s="228">
        <v>0</v>
      </c>
      <c r="K462" s="52">
        <f t="shared" si="224"/>
        <v>0.3992</v>
      </c>
      <c r="L462" s="52"/>
      <c r="M462" s="50"/>
      <c r="N462" s="51"/>
      <c r="O462" s="701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6"/>
    </row>
    <row r="463" spans="1:57" s="48" customFormat="1" x14ac:dyDescent="0.2">
      <c r="A463" s="717"/>
      <c r="B463" s="648"/>
      <c r="C463" s="631" t="s">
        <v>910</v>
      </c>
      <c r="D463" s="470">
        <v>2026</v>
      </c>
      <c r="E463" s="567">
        <f t="shared" si="225"/>
        <v>0.63500000000000001</v>
      </c>
      <c r="F463" s="567">
        <v>0.63500000000000001</v>
      </c>
      <c r="G463" s="61">
        <v>0</v>
      </c>
      <c r="H463" s="567">
        <v>0</v>
      </c>
      <c r="I463" s="228">
        <v>0</v>
      </c>
      <c r="J463" s="228">
        <v>0</v>
      </c>
      <c r="K463" s="52">
        <f t="shared" si="224"/>
        <v>0.63500000000000001</v>
      </c>
      <c r="L463" s="52"/>
      <c r="M463" s="50"/>
      <c r="N463" s="51"/>
      <c r="O463" s="701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6"/>
    </row>
    <row r="464" spans="1:57" s="48" customFormat="1" x14ac:dyDescent="0.2">
      <c r="A464" s="717"/>
      <c r="B464" s="648"/>
      <c r="C464" s="648"/>
      <c r="D464" s="470">
        <v>2027</v>
      </c>
      <c r="E464" s="567">
        <f t="shared" si="225"/>
        <v>0.61529999999999996</v>
      </c>
      <c r="F464" s="567">
        <v>0.61529999999999996</v>
      </c>
      <c r="G464" s="61">
        <v>0</v>
      </c>
      <c r="H464" s="567">
        <v>0</v>
      </c>
      <c r="I464" s="228">
        <v>0</v>
      </c>
      <c r="J464" s="228">
        <v>0</v>
      </c>
      <c r="K464" s="52">
        <f t="shared" si="224"/>
        <v>0.61529999999999996</v>
      </c>
      <c r="L464" s="52"/>
      <c r="M464" s="50"/>
      <c r="N464" s="51"/>
      <c r="O464" s="701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6"/>
    </row>
    <row r="465" spans="1:57" s="48" customFormat="1" x14ac:dyDescent="0.2">
      <c r="A465" s="717"/>
      <c r="B465" s="648"/>
      <c r="C465" s="648"/>
      <c r="D465" s="470">
        <v>2028</v>
      </c>
      <c r="E465" s="567">
        <f t="shared" si="225"/>
        <v>0.60940000000000005</v>
      </c>
      <c r="F465" s="567">
        <v>0.60940000000000005</v>
      </c>
      <c r="G465" s="61">
        <v>0</v>
      </c>
      <c r="H465" s="567">
        <v>0</v>
      </c>
      <c r="I465" s="228">
        <v>0</v>
      </c>
      <c r="J465" s="228">
        <v>0</v>
      </c>
      <c r="K465" s="52">
        <f t="shared" si="224"/>
        <v>0.60940000000000005</v>
      </c>
      <c r="L465" s="52"/>
      <c r="M465" s="50"/>
      <c r="N465" s="51"/>
      <c r="O465" s="701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6"/>
    </row>
    <row r="466" spans="1:57" s="48" customFormat="1" x14ac:dyDescent="0.2">
      <c r="A466" s="717"/>
      <c r="B466" s="648"/>
      <c r="C466" s="648"/>
      <c r="D466" s="470">
        <v>2029</v>
      </c>
      <c r="E466" s="567">
        <f t="shared" si="225"/>
        <v>1.5603</v>
      </c>
      <c r="F466" s="567">
        <v>1.5603</v>
      </c>
      <c r="G466" s="61">
        <v>0</v>
      </c>
      <c r="H466" s="567">
        <v>0</v>
      </c>
      <c r="I466" s="228">
        <v>0</v>
      </c>
      <c r="J466" s="228">
        <v>0</v>
      </c>
      <c r="K466" s="52">
        <f t="shared" si="224"/>
        <v>1.5603</v>
      </c>
      <c r="L466" s="52"/>
      <c r="M466" s="50"/>
      <c r="N466" s="51"/>
      <c r="O466" s="701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6"/>
    </row>
    <row r="467" spans="1:57" s="48" customFormat="1" x14ac:dyDescent="0.2">
      <c r="A467" s="734"/>
      <c r="B467" s="632"/>
      <c r="C467" s="632"/>
      <c r="D467" s="470">
        <v>2030</v>
      </c>
      <c r="E467" s="567">
        <f t="shared" si="225"/>
        <v>0.56240000000000001</v>
      </c>
      <c r="F467" s="567">
        <v>0.56240000000000001</v>
      </c>
      <c r="G467" s="61">
        <v>0</v>
      </c>
      <c r="H467" s="567">
        <v>0</v>
      </c>
      <c r="I467" s="228">
        <v>0</v>
      </c>
      <c r="J467" s="228">
        <v>0</v>
      </c>
      <c r="K467" s="52">
        <f t="shared" si="224"/>
        <v>0.56240000000000001</v>
      </c>
      <c r="L467" s="52"/>
      <c r="M467" s="50"/>
      <c r="N467" s="51"/>
      <c r="O467" s="702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6"/>
    </row>
    <row r="468" spans="1:57" s="48" customFormat="1" ht="12.75" customHeight="1" x14ac:dyDescent="0.2">
      <c r="A468" s="731" t="s">
        <v>391</v>
      </c>
      <c r="B468" s="833" t="s">
        <v>971</v>
      </c>
      <c r="C468" s="652"/>
      <c r="D468" s="46" t="s">
        <v>198</v>
      </c>
      <c r="E468" s="560">
        <f>E469+E470+E471+E472+E473+E474+E475</f>
        <v>8135.0630999999985</v>
      </c>
      <c r="F468" s="560">
        <f>F469+F470+F471+F472+F473+F474+F475</f>
        <v>87.203599999999994</v>
      </c>
      <c r="G468" s="560">
        <f t="shared" ref="G468:J468" si="226">G469+G470+G471+G472+G473+G474+G475</f>
        <v>211.04910000000001</v>
      </c>
      <c r="H468" s="560">
        <f t="shared" si="226"/>
        <v>1034.8088</v>
      </c>
      <c r="I468" s="560">
        <f t="shared" si="226"/>
        <v>6798.12</v>
      </c>
      <c r="J468" s="560">
        <f t="shared" si="226"/>
        <v>3.8815999999999997</v>
      </c>
      <c r="K468" s="52">
        <f t="shared" si="224"/>
        <v>8135.0630999999994</v>
      </c>
      <c r="L468" s="52"/>
      <c r="M468" s="50"/>
      <c r="N468" s="51"/>
      <c r="O468" s="49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6"/>
    </row>
    <row r="469" spans="1:57" s="48" customFormat="1" ht="12.75" customHeight="1" x14ac:dyDescent="0.2">
      <c r="A469" s="732"/>
      <c r="B469" s="834"/>
      <c r="C469" s="653"/>
      <c r="D469" s="46">
        <v>2019</v>
      </c>
      <c r="E469" s="560">
        <f>E498+E502+E511+E514+E522</f>
        <v>929.09609999999998</v>
      </c>
      <c r="F469" s="560">
        <f t="shared" ref="F469:J469" si="227">F498+F502+F511+F514+F522</f>
        <v>17.819900000000001</v>
      </c>
      <c r="G469" s="560">
        <f t="shared" si="227"/>
        <v>99.615399999999994</v>
      </c>
      <c r="H469" s="560">
        <f t="shared" si="227"/>
        <v>221.95830000000001</v>
      </c>
      <c r="I469" s="560">
        <f t="shared" si="227"/>
        <v>589.02</v>
      </c>
      <c r="J469" s="560">
        <f t="shared" si="227"/>
        <v>0.6825</v>
      </c>
      <c r="K469" s="52">
        <f t="shared" si="224"/>
        <v>929.09609999999998</v>
      </c>
      <c r="L469" s="52"/>
      <c r="M469" s="50"/>
      <c r="N469" s="51"/>
      <c r="O469" s="49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6"/>
    </row>
    <row r="470" spans="1:57" s="48" customFormat="1" ht="12.75" customHeight="1" x14ac:dyDescent="0.2">
      <c r="A470" s="732"/>
      <c r="B470" s="834"/>
      <c r="C470" s="653"/>
      <c r="D470" s="46">
        <v>2020</v>
      </c>
      <c r="E470" s="560">
        <f>E477+E499+E503+E509+E512+E515+E523</f>
        <v>5477.0097999999998</v>
      </c>
      <c r="F470" s="560">
        <f t="shared" ref="F470:J470" si="228">F477+F499+F503+F509+F512+F515+F523</f>
        <v>11.309699999999999</v>
      </c>
      <c r="G470" s="560">
        <f t="shared" si="228"/>
        <v>111.4337</v>
      </c>
      <c r="H470" s="560">
        <f t="shared" si="228"/>
        <v>732.74489999999992</v>
      </c>
      <c r="I470" s="560">
        <f t="shared" si="228"/>
        <v>4620.8</v>
      </c>
      <c r="J470" s="560">
        <f t="shared" si="228"/>
        <v>0.72150000000000003</v>
      </c>
      <c r="K470" s="52">
        <f t="shared" si="224"/>
        <v>5477.0097999999998</v>
      </c>
      <c r="L470" s="52"/>
      <c r="M470" s="50"/>
      <c r="N470" s="51"/>
      <c r="O470" s="49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6"/>
    </row>
    <row r="471" spans="1:57" s="48" customFormat="1" ht="12.75" customHeight="1" x14ac:dyDescent="0.2">
      <c r="A471" s="732"/>
      <c r="B471" s="834"/>
      <c r="C471" s="653"/>
      <c r="D471" s="46">
        <v>2021</v>
      </c>
      <c r="E471" s="560">
        <f>E478+E500+E504+E516</f>
        <v>510.77420000000001</v>
      </c>
      <c r="F471" s="560">
        <f t="shared" ref="F471:J471" si="229">F478+F500+F504+F516</f>
        <v>8.391</v>
      </c>
      <c r="G471" s="560">
        <f t="shared" si="229"/>
        <v>0</v>
      </c>
      <c r="H471" s="560">
        <f t="shared" si="229"/>
        <v>80.105599999999995</v>
      </c>
      <c r="I471" s="560">
        <f t="shared" si="229"/>
        <v>419.8</v>
      </c>
      <c r="J471" s="560">
        <f t="shared" si="229"/>
        <v>2.4775999999999998</v>
      </c>
      <c r="K471" s="52">
        <f t="shared" si="224"/>
        <v>510.77420000000001</v>
      </c>
      <c r="L471" s="52"/>
      <c r="M471" s="50"/>
      <c r="N471" s="51"/>
      <c r="O471" s="49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6"/>
    </row>
    <row r="472" spans="1:57" s="48" customFormat="1" ht="12.75" customHeight="1" x14ac:dyDescent="0.2">
      <c r="A472" s="732"/>
      <c r="B472" s="834"/>
      <c r="C472" s="653"/>
      <c r="D472" s="46">
        <v>2022</v>
      </c>
      <c r="E472" s="560">
        <f>E479+E505+E517</f>
        <v>604.0951</v>
      </c>
      <c r="F472" s="560">
        <f t="shared" ref="F472:J472" si="230">F479+F505+F517</f>
        <v>8.7950999999999997</v>
      </c>
      <c r="G472" s="560">
        <f t="shared" si="230"/>
        <v>0</v>
      </c>
      <c r="H472" s="560">
        <f t="shared" si="230"/>
        <v>0</v>
      </c>
      <c r="I472" s="560">
        <f t="shared" si="230"/>
        <v>595.29999999999995</v>
      </c>
      <c r="J472" s="560">
        <f t="shared" si="230"/>
        <v>0</v>
      </c>
      <c r="K472" s="52">
        <f t="shared" si="224"/>
        <v>604.0951</v>
      </c>
      <c r="L472" s="52"/>
      <c r="M472" s="50"/>
      <c r="N472" s="51"/>
      <c r="O472" s="49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6"/>
    </row>
    <row r="473" spans="1:57" s="48" customFormat="1" ht="15.75" customHeight="1" x14ac:dyDescent="0.2">
      <c r="A473" s="732"/>
      <c r="B473" s="834"/>
      <c r="C473" s="653"/>
      <c r="D473" s="46">
        <v>2023</v>
      </c>
      <c r="E473" s="560">
        <f>E480+E506+E518</f>
        <v>546.59839999999997</v>
      </c>
      <c r="F473" s="560">
        <f t="shared" ref="F473:J473" si="231">F480+F506+F518</f>
        <v>13.0984</v>
      </c>
      <c r="G473" s="560">
        <f t="shared" si="231"/>
        <v>0</v>
      </c>
      <c r="H473" s="560">
        <f t="shared" si="231"/>
        <v>0</v>
      </c>
      <c r="I473" s="560">
        <f t="shared" si="231"/>
        <v>533.5</v>
      </c>
      <c r="J473" s="560">
        <f t="shared" si="231"/>
        <v>0</v>
      </c>
      <c r="K473" s="52">
        <f t="shared" si="224"/>
        <v>546.59839999999997</v>
      </c>
      <c r="L473" s="52"/>
      <c r="M473" s="50"/>
      <c r="N473" s="51"/>
      <c r="O473" s="62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6"/>
    </row>
    <row r="474" spans="1:57" s="48" customFormat="1" ht="15.75" customHeight="1" x14ac:dyDescent="0.2">
      <c r="A474" s="732"/>
      <c r="B474" s="834"/>
      <c r="C474" s="653"/>
      <c r="D474" s="46">
        <v>2024</v>
      </c>
      <c r="E474" s="560">
        <f>E481+E507+E519</f>
        <v>53.322299999999998</v>
      </c>
      <c r="F474" s="560">
        <f t="shared" ref="F474:J474" si="232">F481+F507+F519</f>
        <v>13.622299999999999</v>
      </c>
      <c r="G474" s="560">
        <f t="shared" si="232"/>
        <v>0</v>
      </c>
      <c r="H474" s="560">
        <f t="shared" si="232"/>
        <v>0</v>
      </c>
      <c r="I474" s="560">
        <f t="shared" si="232"/>
        <v>39.700000000000003</v>
      </c>
      <c r="J474" s="560">
        <f t="shared" si="232"/>
        <v>0</v>
      </c>
      <c r="K474" s="52">
        <f t="shared" si="224"/>
        <v>53.322299999999998</v>
      </c>
      <c r="L474" s="52"/>
      <c r="M474" s="50"/>
      <c r="N474" s="51"/>
      <c r="O474" s="62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6"/>
    </row>
    <row r="475" spans="1:57" s="48" customFormat="1" ht="15.75" customHeight="1" x14ac:dyDescent="0.2">
      <c r="A475" s="733"/>
      <c r="B475" s="835"/>
      <c r="C475" s="836"/>
      <c r="D475" s="46">
        <v>2025</v>
      </c>
      <c r="E475" s="560">
        <f>E482+E520</f>
        <v>14.167199999999999</v>
      </c>
      <c r="F475" s="560">
        <f t="shared" ref="F475:J475" si="233">F482+F520</f>
        <v>14.167199999999999</v>
      </c>
      <c r="G475" s="560">
        <f t="shared" si="233"/>
        <v>0</v>
      </c>
      <c r="H475" s="560">
        <f t="shared" si="233"/>
        <v>0</v>
      </c>
      <c r="I475" s="560">
        <f t="shared" si="233"/>
        <v>0</v>
      </c>
      <c r="J475" s="560">
        <f t="shared" si="233"/>
        <v>0</v>
      </c>
      <c r="K475" s="52">
        <f t="shared" si="224"/>
        <v>14.167199999999999</v>
      </c>
      <c r="L475" s="52"/>
      <c r="M475" s="50"/>
      <c r="N475" s="51"/>
      <c r="O475" s="62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6"/>
    </row>
    <row r="476" spans="1:57" s="48" customFormat="1" ht="27.75" customHeight="1" x14ac:dyDescent="0.2">
      <c r="A476" s="697" t="s">
        <v>381</v>
      </c>
      <c r="B476" s="631" t="s">
        <v>578</v>
      </c>
      <c r="C476" s="705" t="s">
        <v>1000</v>
      </c>
      <c r="D476" s="46" t="s">
        <v>198</v>
      </c>
      <c r="E476" s="47">
        <f>E477+E478+E479+E480+E481+E482</f>
        <v>0</v>
      </c>
      <c r="F476" s="47">
        <f t="shared" ref="F476:J476" si="234">F477+F478+F479+F480+F481+F482</f>
        <v>0</v>
      </c>
      <c r="G476" s="47">
        <f t="shared" si="234"/>
        <v>0</v>
      </c>
      <c r="H476" s="47">
        <f t="shared" si="234"/>
        <v>0</v>
      </c>
      <c r="I476" s="47">
        <f t="shared" si="234"/>
        <v>0</v>
      </c>
      <c r="J476" s="47">
        <f t="shared" si="234"/>
        <v>0</v>
      </c>
      <c r="K476" s="52">
        <f t="shared" si="224"/>
        <v>0</v>
      </c>
      <c r="L476" s="52"/>
      <c r="M476" s="50"/>
      <c r="N476" s="56"/>
      <c r="O476" s="746" t="s">
        <v>599</v>
      </c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6"/>
    </row>
    <row r="477" spans="1:57" s="48" customFormat="1" x14ac:dyDescent="0.2">
      <c r="A477" s="717"/>
      <c r="B477" s="831"/>
      <c r="C477" s="706"/>
      <c r="D477" s="470">
        <v>2020</v>
      </c>
      <c r="E477" s="567">
        <f t="shared" ref="E477:J482" si="235">E484+E491</f>
        <v>0</v>
      </c>
      <c r="F477" s="567">
        <f t="shared" si="235"/>
        <v>0</v>
      </c>
      <c r="G477" s="567">
        <f t="shared" si="235"/>
        <v>0</v>
      </c>
      <c r="H477" s="567">
        <f t="shared" si="235"/>
        <v>0</v>
      </c>
      <c r="I477" s="567">
        <f t="shared" si="235"/>
        <v>0</v>
      </c>
      <c r="J477" s="567">
        <f t="shared" si="235"/>
        <v>0</v>
      </c>
      <c r="K477" s="52">
        <f t="shared" si="224"/>
        <v>0</v>
      </c>
      <c r="L477" s="52"/>
      <c r="M477" s="50"/>
      <c r="N477" s="56"/>
      <c r="O477" s="701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6"/>
    </row>
    <row r="478" spans="1:57" s="48" customFormat="1" x14ac:dyDescent="0.2">
      <c r="A478" s="717"/>
      <c r="B478" s="831"/>
      <c r="C478" s="706"/>
      <c r="D478" s="470">
        <v>2021</v>
      </c>
      <c r="E478" s="567">
        <f t="shared" si="235"/>
        <v>0</v>
      </c>
      <c r="F478" s="567">
        <f t="shared" si="235"/>
        <v>0</v>
      </c>
      <c r="G478" s="567">
        <f t="shared" si="235"/>
        <v>0</v>
      </c>
      <c r="H478" s="567">
        <f t="shared" si="235"/>
        <v>0</v>
      </c>
      <c r="I478" s="567">
        <f t="shared" si="235"/>
        <v>0</v>
      </c>
      <c r="J478" s="567">
        <f t="shared" si="235"/>
        <v>0</v>
      </c>
      <c r="K478" s="52">
        <f t="shared" si="224"/>
        <v>0</v>
      </c>
      <c r="L478" s="52"/>
      <c r="M478" s="50"/>
      <c r="N478" s="56"/>
      <c r="O478" s="701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6"/>
    </row>
    <row r="479" spans="1:57" s="48" customFormat="1" x14ac:dyDescent="0.2">
      <c r="A479" s="717"/>
      <c r="B479" s="831"/>
      <c r="C479" s="706"/>
      <c r="D479" s="470">
        <v>2022</v>
      </c>
      <c r="E479" s="567">
        <f t="shared" si="235"/>
        <v>0</v>
      </c>
      <c r="F479" s="567">
        <f t="shared" si="235"/>
        <v>0</v>
      </c>
      <c r="G479" s="567">
        <f t="shared" si="235"/>
        <v>0</v>
      </c>
      <c r="H479" s="567">
        <f t="shared" si="235"/>
        <v>0</v>
      </c>
      <c r="I479" s="567">
        <f t="shared" si="235"/>
        <v>0</v>
      </c>
      <c r="J479" s="567">
        <f t="shared" si="235"/>
        <v>0</v>
      </c>
      <c r="K479" s="52">
        <f t="shared" si="224"/>
        <v>0</v>
      </c>
      <c r="L479" s="52"/>
      <c r="M479" s="50"/>
      <c r="N479" s="56"/>
      <c r="O479" s="701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6"/>
    </row>
    <row r="480" spans="1:57" s="48" customFormat="1" x14ac:dyDescent="0.2">
      <c r="A480" s="717"/>
      <c r="B480" s="831"/>
      <c r="C480" s="706"/>
      <c r="D480" s="470">
        <v>2023</v>
      </c>
      <c r="E480" s="567">
        <f t="shared" si="235"/>
        <v>0</v>
      </c>
      <c r="F480" s="567">
        <f t="shared" si="235"/>
        <v>0</v>
      </c>
      <c r="G480" s="567">
        <f t="shared" si="235"/>
        <v>0</v>
      </c>
      <c r="H480" s="567">
        <f t="shared" si="235"/>
        <v>0</v>
      </c>
      <c r="I480" s="567">
        <f t="shared" si="235"/>
        <v>0</v>
      </c>
      <c r="J480" s="567">
        <f t="shared" si="235"/>
        <v>0</v>
      </c>
      <c r="K480" s="52">
        <f t="shared" si="224"/>
        <v>0</v>
      </c>
      <c r="L480" s="52"/>
      <c r="M480" s="50"/>
      <c r="N480" s="56"/>
      <c r="O480" s="701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6"/>
    </row>
    <row r="481" spans="1:57" s="48" customFormat="1" x14ac:dyDescent="0.2">
      <c r="A481" s="717"/>
      <c r="B481" s="831"/>
      <c r="C481" s="706"/>
      <c r="D481" s="470">
        <v>2024</v>
      </c>
      <c r="E481" s="567">
        <f t="shared" si="235"/>
        <v>0</v>
      </c>
      <c r="F481" s="567">
        <f t="shared" si="235"/>
        <v>0</v>
      </c>
      <c r="G481" s="567">
        <f t="shared" si="235"/>
        <v>0</v>
      </c>
      <c r="H481" s="567">
        <f t="shared" si="235"/>
        <v>0</v>
      </c>
      <c r="I481" s="567">
        <f t="shared" si="235"/>
        <v>0</v>
      </c>
      <c r="J481" s="567">
        <f t="shared" si="235"/>
        <v>0</v>
      </c>
      <c r="K481" s="52">
        <f t="shared" si="224"/>
        <v>0</v>
      </c>
      <c r="L481" s="52"/>
      <c r="M481" s="50"/>
      <c r="N481" s="56"/>
      <c r="O481" s="701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6"/>
    </row>
    <row r="482" spans="1:57" s="48" customFormat="1" x14ac:dyDescent="0.2">
      <c r="A482" s="734"/>
      <c r="B482" s="832"/>
      <c r="C482" s="706"/>
      <c r="D482" s="470">
        <v>2025</v>
      </c>
      <c r="E482" s="567">
        <f t="shared" si="235"/>
        <v>0</v>
      </c>
      <c r="F482" s="567">
        <f t="shared" si="235"/>
        <v>0</v>
      </c>
      <c r="G482" s="567">
        <f t="shared" si="235"/>
        <v>0</v>
      </c>
      <c r="H482" s="567">
        <f t="shared" si="235"/>
        <v>0</v>
      </c>
      <c r="I482" s="567">
        <f t="shared" si="235"/>
        <v>0</v>
      </c>
      <c r="J482" s="567">
        <f t="shared" si="235"/>
        <v>0</v>
      </c>
      <c r="K482" s="52">
        <f t="shared" si="224"/>
        <v>0</v>
      </c>
      <c r="L482" s="52"/>
      <c r="M482" s="50"/>
      <c r="N482" s="56"/>
      <c r="O482" s="701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6"/>
    </row>
    <row r="483" spans="1:57" s="48" customFormat="1" ht="20.25" customHeight="1" x14ac:dyDescent="0.2">
      <c r="A483" s="697" t="s">
        <v>867</v>
      </c>
      <c r="B483" s="631" t="s">
        <v>911</v>
      </c>
      <c r="C483" s="706"/>
      <c r="D483" s="46" t="s">
        <v>198</v>
      </c>
      <c r="E483" s="47">
        <f>E484+E485+E486+E487+E488+E489</f>
        <v>0</v>
      </c>
      <c r="F483" s="47">
        <f t="shared" ref="F483:J483" si="236">F484+F485+F486+F487+F488+F489</f>
        <v>0</v>
      </c>
      <c r="G483" s="47">
        <f t="shared" si="236"/>
        <v>0</v>
      </c>
      <c r="H483" s="47">
        <f t="shared" si="236"/>
        <v>0</v>
      </c>
      <c r="I483" s="47">
        <f t="shared" si="236"/>
        <v>0</v>
      </c>
      <c r="J483" s="47">
        <f t="shared" si="236"/>
        <v>0</v>
      </c>
      <c r="K483" s="52">
        <f t="shared" si="224"/>
        <v>0</v>
      </c>
      <c r="L483" s="806" t="s">
        <v>857</v>
      </c>
      <c r="M483" s="50"/>
      <c r="N483" s="56"/>
      <c r="O483" s="701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6"/>
    </row>
    <row r="484" spans="1:57" s="48" customFormat="1" x14ac:dyDescent="0.2">
      <c r="A484" s="698"/>
      <c r="B484" s="648"/>
      <c r="C484" s="706"/>
      <c r="D484" s="470">
        <v>2020</v>
      </c>
      <c r="E484" s="567">
        <f t="shared" ref="E484:E489" si="237">F484+G484+H484+I484+J484</f>
        <v>0</v>
      </c>
      <c r="F484" s="567">
        <v>0</v>
      </c>
      <c r="G484" s="567">
        <v>0</v>
      </c>
      <c r="H484" s="567">
        <v>0</v>
      </c>
      <c r="I484" s="567">
        <v>0</v>
      </c>
      <c r="J484" s="567">
        <v>0</v>
      </c>
      <c r="K484" s="52">
        <f t="shared" si="224"/>
        <v>0</v>
      </c>
      <c r="L484" s="830"/>
      <c r="M484" s="50"/>
      <c r="N484" s="56"/>
      <c r="O484" s="701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6"/>
    </row>
    <row r="485" spans="1:57" s="48" customFormat="1" x14ac:dyDescent="0.2">
      <c r="A485" s="698"/>
      <c r="B485" s="648"/>
      <c r="C485" s="706"/>
      <c r="D485" s="470">
        <v>2021</v>
      </c>
      <c r="E485" s="567">
        <f t="shared" si="237"/>
        <v>0</v>
      </c>
      <c r="F485" s="567">
        <v>0</v>
      </c>
      <c r="G485" s="567">
        <v>0</v>
      </c>
      <c r="H485" s="567">
        <v>0</v>
      </c>
      <c r="I485" s="567">
        <v>0</v>
      </c>
      <c r="J485" s="567">
        <v>0</v>
      </c>
      <c r="K485" s="52">
        <f t="shared" si="224"/>
        <v>0</v>
      </c>
      <c r="L485" s="830"/>
      <c r="M485" s="50"/>
      <c r="N485" s="56"/>
      <c r="O485" s="701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6"/>
    </row>
    <row r="486" spans="1:57" s="48" customFormat="1" x14ac:dyDescent="0.2">
      <c r="A486" s="698"/>
      <c r="B486" s="648"/>
      <c r="C486" s="706"/>
      <c r="D486" s="470">
        <v>2022</v>
      </c>
      <c r="E486" s="567">
        <f t="shared" si="237"/>
        <v>0</v>
      </c>
      <c r="F486" s="567">
        <v>0</v>
      </c>
      <c r="G486" s="567">
        <v>0</v>
      </c>
      <c r="H486" s="567">
        <v>0</v>
      </c>
      <c r="I486" s="567">
        <v>0</v>
      </c>
      <c r="J486" s="567">
        <v>0</v>
      </c>
      <c r="K486" s="52">
        <f t="shared" si="224"/>
        <v>0</v>
      </c>
      <c r="L486" s="830"/>
      <c r="M486" s="50"/>
      <c r="N486" s="56"/>
      <c r="O486" s="701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6"/>
    </row>
    <row r="487" spans="1:57" s="48" customFormat="1" x14ac:dyDescent="0.2">
      <c r="A487" s="698"/>
      <c r="B487" s="648"/>
      <c r="C487" s="706"/>
      <c r="D487" s="470">
        <v>2023</v>
      </c>
      <c r="E487" s="567">
        <f t="shared" si="237"/>
        <v>0</v>
      </c>
      <c r="F487" s="567">
        <v>0</v>
      </c>
      <c r="G487" s="567">
        <v>0</v>
      </c>
      <c r="H487" s="567">
        <v>0</v>
      </c>
      <c r="I487" s="567">
        <v>0</v>
      </c>
      <c r="J487" s="567">
        <v>0</v>
      </c>
      <c r="K487" s="52">
        <f t="shared" si="224"/>
        <v>0</v>
      </c>
      <c r="L487" s="830"/>
      <c r="M487" s="50"/>
      <c r="N487" s="56"/>
      <c r="O487" s="701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6"/>
    </row>
    <row r="488" spans="1:57" s="48" customFormat="1" x14ac:dyDescent="0.2">
      <c r="A488" s="698"/>
      <c r="B488" s="648"/>
      <c r="C488" s="706"/>
      <c r="D488" s="470">
        <v>2024</v>
      </c>
      <c r="E488" s="567">
        <f t="shared" si="237"/>
        <v>0</v>
      </c>
      <c r="F488" s="567">
        <v>0</v>
      </c>
      <c r="G488" s="567">
        <v>0</v>
      </c>
      <c r="H488" s="567">
        <v>0</v>
      </c>
      <c r="I488" s="567">
        <v>0</v>
      </c>
      <c r="J488" s="567">
        <v>0</v>
      </c>
      <c r="K488" s="52">
        <f t="shared" si="224"/>
        <v>0</v>
      </c>
      <c r="L488" s="830"/>
      <c r="M488" s="50"/>
      <c r="N488" s="56"/>
      <c r="O488" s="701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6"/>
    </row>
    <row r="489" spans="1:57" s="48" customFormat="1" x14ac:dyDescent="0.2">
      <c r="A489" s="699"/>
      <c r="B489" s="632"/>
      <c r="C489" s="706"/>
      <c r="D489" s="470">
        <v>2025</v>
      </c>
      <c r="E489" s="567">
        <f t="shared" si="237"/>
        <v>0</v>
      </c>
      <c r="F489" s="567">
        <v>0</v>
      </c>
      <c r="G489" s="567">
        <v>0</v>
      </c>
      <c r="H489" s="567">
        <v>0</v>
      </c>
      <c r="I489" s="567">
        <v>0</v>
      </c>
      <c r="J489" s="567">
        <v>0</v>
      </c>
      <c r="K489" s="52">
        <f t="shared" si="224"/>
        <v>0</v>
      </c>
      <c r="L489" s="807"/>
      <c r="M489" s="50"/>
      <c r="N489" s="56"/>
      <c r="O489" s="701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6"/>
    </row>
    <row r="490" spans="1:57" s="48" customFormat="1" x14ac:dyDescent="0.2">
      <c r="A490" s="697" t="s">
        <v>670</v>
      </c>
      <c r="B490" s="631" t="s">
        <v>912</v>
      </c>
      <c r="C490" s="706"/>
      <c r="D490" s="46" t="s">
        <v>198</v>
      </c>
      <c r="E490" s="47">
        <f>E491+E492+E493+E494+E495+E496</f>
        <v>0</v>
      </c>
      <c r="F490" s="47">
        <f t="shared" ref="F490:J490" si="238">F491+F492+F493+F494+F495+F496</f>
        <v>0</v>
      </c>
      <c r="G490" s="47">
        <f t="shared" si="238"/>
        <v>0</v>
      </c>
      <c r="H490" s="47">
        <f t="shared" si="238"/>
        <v>0</v>
      </c>
      <c r="I490" s="47">
        <f t="shared" si="238"/>
        <v>0</v>
      </c>
      <c r="J490" s="47">
        <f t="shared" si="238"/>
        <v>0</v>
      </c>
      <c r="K490" s="52">
        <f t="shared" si="224"/>
        <v>0</v>
      </c>
      <c r="L490" s="806" t="s">
        <v>475</v>
      </c>
      <c r="M490" s="50"/>
      <c r="N490" s="56"/>
      <c r="O490" s="701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6"/>
    </row>
    <row r="491" spans="1:57" s="48" customFormat="1" x14ac:dyDescent="0.2">
      <c r="A491" s="717"/>
      <c r="B491" s="701"/>
      <c r="C491" s="706"/>
      <c r="D491" s="470">
        <v>2020</v>
      </c>
      <c r="E491" s="567">
        <f t="shared" ref="E491:E496" si="239">F491+G491+H491+I491+J491</f>
        <v>0</v>
      </c>
      <c r="F491" s="567">
        <v>0</v>
      </c>
      <c r="G491" s="567">
        <v>0</v>
      </c>
      <c r="H491" s="567">
        <v>0</v>
      </c>
      <c r="I491" s="567">
        <v>0</v>
      </c>
      <c r="J491" s="567">
        <v>0</v>
      </c>
      <c r="K491" s="52">
        <f t="shared" si="224"/>
        <v>0</v>
      </c>
      <c r="L491" s="636"/>
      <c r="M491" s="50"/>
      <c r="N491" s="56"/>
      <c r="O491" s="701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6"/>
    </row>
    <row r="492" spans="1:57" s="48" customFormat="1" x14ac:dyDescent="0.2">
      <c r="A492" s="717"/>
      <c r="B492" s="701"/>
      <c r="C492" s="706"/>
      <c r="D492" s="470">
        <v>2021</v>
      </c>
      <c r="E492" s="567">
        <f t="shared" si="239"/>
        <v>0</v>
      </c>
      <c r="F492" s="567">
        <v>0</v>
      </c>
      <c r="G492" s="567">
        <v>0</v>
      </c>
      <c r="H492" s="567">
        <v>0</v>
      </c>
      <c r="I492" s="567">
        <v>0</v>
      </c>
      <c r="J492" s="567">
        <v>0</v>
      </c>
      <c r="K492" s="52">
        <f t="shared" si="224"/>
        <v>0</v>
      </c>
      <c r="L492" s="636"/>
      <c r="M492" s="50"/>
      <c r="N492" s="56"/>
      <c r="O492" s="701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6"/>
    </row>
    <row r="493" spans="1:57" s="48" customFormat="1" x14ac:dyDescent="0.2">
      <c r="A493" s="717"/>
      <c r="B493" s="701"/>
      <c r="C493" s="706"/>
      <c r="D493" s="470">
        <v>2022</v>
      </c>
      <c r="E493" s="567">
        <f>F493+G493+H493</f>
        <v>0</v>
      </c>
      <c r="F493" s="567">
        <v>0</v>
      </c>
      <c r="G493" s="567">
        <v>0</v>
      </c>
      <c r="H493" s="567">
        <v>0</v>
      </c>
      <c r="I493" s="567">
        <v>0</v>
      </c>
      <c r="J493" s="567">
        <v>0</v>
      </c>
      <c r="K493" s="52">
        <f t="shared" si="224"/>
        <v>0</v>
      </c>
      <c r="L493" s="636"/>
      <c r="M493" s="50"/>
      <c r="N493" s="56"/>
      <c r="O493" s="701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6"/>
    </row>
    <row r="494" spans="1:57" s="48" customFormat="1" x14ac:dyDescent="0.2">
      <c r="A494" s="717"/>
      <c r="B494" s="701"/>
      <c r="C494" s="706"/>
      <c r="D494" s="470">
        <v>2023</v>
      </c>
      <c r="E494" s="567">
        <f t="shared" si="239"/>
        <v>0</v>
      </c>
      <c r="F494" s="567">
        <v>0</v>
      </c>
      <c r="G494" s="567">
        <v>0</v>
      </c>
      <c r="H494" s="567">
        <v>0</v>
      </c>
      <c r="I494" s="567">
        <v>0</v>
      </c>
      <c r="J494" s="567">
        <v>0</v>
      </c>
      <c r="K494" s="52">
        <f t="shared" si="224"/>
        <v>0</v>
      </c>
      <c r="L494" s="636"/>
      <c r="M494" s="50"/>
      <c r="N494" s="56"/>
      <c r="O494" s="701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6"/>
    </row>
    <row r="495" spans="1:57" s="48" customFormat="1" x14ac:dyDescent="0.2">
      <c r="A495" s="717"/>
      <c r="B495" s="701"/>
      <c r="C495" s="706"/>
      <c r="D495" s="470">
        <v>2024</v>
      </c>
      <c r="E495" s="567">
        <f t="shared" si="239"/>
        <v>0</v>
      </c>
      <c r="F495" s="567">
        <v>0</v>
      </c>
      <c r="G495" s="567">
        <v>0</v>
      </c>
      <c r="H495" s="567">
        <v>0</v>
      </c>
      <c r="I495" s="567">
        <v>0</v>
      </c>
      <c r="J495" s="567">
        <v>0</v>
      </c>
      <c r="K495" s="52">
        <f t="shared" si="224"/>
        <v>0</v>
      </c>
      <c r="L495" s="636"/>
      <c r="M495" s="50"/>
      <c r="N495" s="56"/>
      <c r="O495" s="701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6"/>
    </row>
    <row r="496" spans="1:57" s="48" customFormat="1" x14ac:dyDescent="0.2">
      <c r="A496" s="734"/>
      <c r="B496" s="702"/>
      <c r="C496" s="706"/>
      <c r="D496" s="470">
        <v>2025</v>
      </c>
      <c r="E496" s="567">
        <f t="shared" si="239"/>
        <v>0</v>
      </c>
      <c r="F496" s="567">
        <v>0</v>
      </c>
      <c r="G496" s="567">
        <v>0</v>
      </c>
      <c r="H496" s="567">
        <v>0</v>
      </c>
      <c r="I496" s="567">
        <v>0</v>
      </c>
      <c r="J496" s="567">
        <v>0</v>
      </c>
      <c r="K496" s="52">
        <f t="shared" si="224"/>
        <v>0</v>
      </c>
      <c r="L496" s="637"/>
      <c r="M496" s="50"/>
      <c r="N496" s="56"/>
      <c r="O496" s="702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6"/>
    </row>
    <row r="497" spans="1:57" s="48" customFormat="1" ht="12.75" customHeight="1" x14ac:dyDescent="0.2">
      <c r="A497" s="697" t="s">
        <v>172</v>
      </c>
      <c r="B497" s="631" t="s">
        <v>582</v>
      </c>
      <c r="C497" s="706"/>
      <c r="D497" s="46" t="s">
        <v>198</v>
      </c>
      <c r="E497" s="47">
        <f>E498+E499+E500</f>
        <v>127.71299999999999</v>
      </c>
      <c r="F497" s="47">
        <f t="shared" ref="F497:J497" si="240">F498+F499+F500</f>
        <v>0</v>
      </c>
      <c r="G497" s="47">
        <f t="shared" si="240"/>
        <v>0</v>
      </c>
      <c r="H497" s="47">
        <f>H498+H499+H500</f>
        <v>123.8814</v>
      </c>
      <c r="I497" s="47">
        <f t="shared" si="240"/>
        <v>0</v>
      </c>
      <c r="J497" s="47">
        <f t="shared" si="240"/>
        <v>3.8315999999999999</v>
      </c>
      <c r="K497" s="52">
        <f t="shared" si="224"/>
        <v>127.71299999999999</v>
      </c>
      <c r="L497" s="100"/>
      <c r="M497" s="101"/>
      <c r="N497" s="57"/>
      <c r="O497" s="631" t="s">
        <v>228</v>
      </c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6"/>
    </row>
    <row r="498" spans="1:57" s="48" customFormat="1" ht="17.25" customHeight="1" x14ac:dyDescent="0.2">
      <c r="A498" s="698"/>
      <c r="B498" s="648"/>
      <c r="C498" s="706"/>
      <c r="D498" s="470">
        <v>2019</v>
      </c>
      <c r="E498" s="567">
        <f>F498+G498+H498+I498+J498</f>
        <v>22.7471</v>
      </c>
      <c r="F498" s="567">
        <v>0</v>
      </c>
      <c r="G498" s="567">
        <v>0</v>
      </c>
      <c r="H498" s="567">
        <v>22.064599999999999</v>
      </c>
      <c r="I498" s="567">
        <v>0</v>
      </c>
      <c r="J498" s="567">
        <v>0.6825</v>
      </c>
      <c r="K498" s="52">
        <f t="shared" si="224"/>
        <v>22.7471</v>
      </c>
      <c r="L498" s="100"/>
      <c r="M498" s="101"/>
      <c r="N498" s="57"/>
      <c r="O498" s="648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6"/>
    </row>
    <row r="499" spans="1:57" s="48" customFormat="1" ht="13.5" customHeight="1" x14ac:dyDescent="0.2">
      <c r="A499" s="698"/>
      <c r="B499" s="648"/>
      <c r="C499" s="706"/>
      <c r="D499" s="470">
        <v>2020</v>
      </c>
      <c r="E499" s="567">
        <f t="shared" ref="E499:E500" si="241">F499+G499+H499+I499+J499</f>
        <v>22.3827</v>
      </c>
      <c r="F499" s="567">
        <v>0</v>
      </c>
      <c r="G499" s="567">
        <v>0</v>
      </c>
      <c r="H499" s="567">
        <v>21.711200000000002</v>
      </c>
      <c r="I499" s="567">
        <v>0</v>
      </c>
      <c r="J499" s="567">
        <v>0.67149999999999999</v>
      </c>
      <c r="K499" s="52">
        <f t="shared" si="224"/>
        <v>22.3827</v>
      </c>
      <c r="L499" s="100"/>
      <c r="M499" s="101"/>
      <c r="N499" s="57"/>
      <c r="O499" s="648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6"/>
    </row>
    <row r="500" spans="1:57" s="48" customFormat="1" ht="18.75" customHeight="1" x14ac:dyDescent="0.2">
      <c r="A500" s="698"/>
      <c r="B500" s="648"/>
      <c r="C500" s="730"/>
      <c r="D500" s="470">
        <v>2021</v>
      </c>
      <c r="E500" s="567">
        <f t="shared" si="241"/>
        <v>82.583199999999991</v>
      </c>
      <c r="F500" s="567">
        <v>0</v>
      </c>
      <c r="G500" s="567">
        <v>0</v>
      </c>
      <c r="H500" s="567">
        <v>80.105599999999995</v>
      </c>
      <c r="I500" s="567">
        <v>0</v>
      </c>
      <c r="J500" s="567">
        <v>2.4775999999999998</v>
      </c>
      <c r="K500" s="52">
        <f t="shared" si="224"/>
        <v>82.583199999999991</v>
      </c>
      <c r="L500" s="100"/>
      <c r="M500" s="101"/>
      <c r="N500" s="57"/>
      <c r="O500" s="648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6"/>
    </row>
    <row r="501" spans="1:57" s="48" customFormat="1" ht="18" customHeight="1" x14ac:dyDescent="0.2">
      <c r="A501" s="697" t="s">
        <v>174</v>
      </c>
      <c r="B501" s="739" t="s">
        <v>229</v>
      </c>
      <c r="C501" s="739" t="s">
        <v>386</v>
      </c>
      <c r="D501" s="46" t="s">
        <v>198</v>
      </c>
      <c r="E501" s="47">
        <f>E502+E503+E504+E505+E506+E507</f>
        <v>6798.12</v>
      </c>
      <c r="F501" s="47">
        <f t="shared" ref="F501:J501" si="242">F502</f>
        <v>0</v>
      </c>
      <c r="G501" s="47">
        <f t="shared" si="242"/>
        <v>0</v>
      </c>
      <c r="H501" s="47">
        <f t="shared" si="242"/>
        <v>0</v>
      </c>
      <c r="I501" s="47">
        <f>I502+I503+I504+I505+I506+I507</f>
        <v>6798.12</v>
      </c>
      <c r="J501" s="47">
        <f t="shared" si="242"/>
        <v>0</v>
      </c>
      <c r="K501" s="52">
        <f t="shared" si="224"/>
        <v>6798.12</v>
      </c>
      <c r="L501" s="760"/>
      <c r="M501" s="827">
        <v>50</v>
      </c>
      <c r="N501" s="828"/>
      <c r="O501" s="746" t="s">
        <v>390</v>
      </c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6"/>
    </row>
    <row r="502" spans="1:57" s="48" customFormat="1" ht="24.75" customHeight="1" x14ac:dyDescent="0.2">
      <c r="A502" s="671"/>
      <c r="B502" s="740"/>
      <c r="C502" s="701"/>
      <c r="D502" s="470">
        <v>2019</v>
      </c>
      <c r="E502" s="567">
        <f>F502+G502+H502+I502+J502</f>
        <v>589.02</v>
      </c>
      <c r="F502" s="567">
        <v>0</v>
      </c>
      <c r="G502" s="567">
        <v>0</v>
      </c>
      <c r="H502" s="567">
        <v>0</v>
      </c>
      <c r="I502" s="567">
        <v>589.02</v>
      </c>
      <c r="J502" s="567">
        <v>0</v>
      </c>
      <c r="K502" s="52">
        <f t="shared" si="224"/>
        <v>589.02</v>
      </c>
      <c r="L502" s="777"/>
      <c r="M502" s="827"/>
      <c r="N502" s="829"/>
      <c r="O502" s="748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6"/>
    </row>
    <row r="503" spans="1:57" s="48" customFormat="1" x14ac:dyDescent="0.2">
      <c r="A503" s="486"/>
      <c r="B503" s="740"/>
      <c r="C503" s="499"/>
      <c r="D503" s="470">
        <v>2020</v>
      </c>
      <c r="E503" s="567">
        <f t="shared" ref="E503:E507" si="243">F503+G503+H503+I503+J503</f>
        <v>4620.8</v>
      </c>
      <c r="F503" s="567">
        <v>0</v>
      </c>
      <c r="G503" s="567">
        <v>0</v>
      </c>
      <c r="H503" s="567">
        <v>0</v>
      </c>
      <c r="I503" s="567">
        <v>4620.8</v>
      </c>
      <c r="J503" s="567">
        <v>0</v>
      </c>
      <c r="K503" s="52">
        <f t="shared" si="224"/>
        <v>4620.8</v>
      </c>
      <c r="L503" s="531"/>
      <c r="M503" s="230"/>
      <c r="N503" s="231"/>
      <c r="O503" s="520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6"/>
    </row>
    <row r="504" spans="1:57" s="48" customFormat="1" x14ac:dyDescent="0.2">
      <c r="A504" s="486"/>
      <c r="B504" s="740"/>
      <c r="C504" s="499"/>
      <c r="D504" s="470">
        <v>2021</v>
      </c>
      <c r="E504" s="567">
        <f t="shared" si="243"/>
        <v>419.8</v>
      </c>
      <c r="F504" s="567">
        <v>0</v>
      </c>
      <c r="G504" s="567">
        <v>0</v>
      </c>
      <c r="H504" s="567">
        <v>0</v>
      </c>
      <c r="I504" s="567">
        <v>419.8</v>
      </c>
      <c r="J504" s="567">
        <v>0</v>
      </c>
      <c r="K504" s="52">
        <f t="shared" si="224"/>
        <v>419.8</v>
      </c>
      <c r="L504" s="531"/>
      <c r="M504" s="230"/>
      <c r="N504" s="231"/>
      <c r="O504" s="520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6"/>
    </row>
    <row r="505" spans="1:57" s="48" customFormat="1" x14ac:dyDescent="0.2">
      <c r="A505" s="486"/>
      <c r="B505" s="740"/>
      <c r="C505" s="499"/>
      <c r="D505" s="470">
        <v>2022</v>
      </c>
      <c r="E505" s="567">
        <f t="shared" si="243"/>
        <v>595.29999999999995</v>
      </c>
      <c r="F505" s="567">
        <v>0</v>
      </c>
      <c r="G505" s="567">
        <v>0</v>
      </c>
      <c r="H505" s="567">
        <v>0</v>
      </c>
      <c r="I505" s="567">
        <v>595.29999999999995</v>
      </c>
      <c r="J505" s="567">
        <v>0</v>
      </c>
      <c r="K505" s="52">
        <f t="shared" si="224"/>
        <v>595.29999999999995</v>
      </c>
      <c r="L505" s="531"/>
      <c r="M505" s="230"/>
      <c r="N505" s="231"/>
      <c r="O505" s="520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6"/>
    </row>
    <row r="506" spans="1:57" s="48" customFormat="1" x14ac:dyDescent="0.2">
      <c r="A506" s="486"/>
      <c r="B506" s="740"/>
      <c r="C506" s="499"/>
      <c r="D506" s="470">
        <v>2023</v>
      </c>
      <c r="E506" s="567">
        <f t="shared" si="243"/>
        <v>533.5</v>
      </c>
      <c r="F506" s="567">
        <v>0</v>
      </c>
      <c r="G506" s="567">
        <v>0</v>
      </c>
      <c r="H506" s="567">
        <v>0</v>
      </c>
      <c r="I506" s="567">
        <v>533.5</v>
      </c>
      <c r="J506" s="567">
        <v>0</v>
      </c>
      <c r="K506" s="52">
        <f t="shared" si="224"/>
        <v>533.5</v>
      </c>
      <c r="L506" s="531"/>
      <c r="M506" s="230"/>
      <c r="N506" s="231"/>
      <c r="O506" s="520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6"/>
    </row>
    <row r="507" spans="1:57" s="48" customFormat="1" x14ac:dyDescent="0.2">
      <c r="A507" s="486"/>
      <c r="B507" s="741"/>
      <c r="C507" s="499"/>
      <c r="D507" s="470">
        <v>2024</v>
      </c>
      <c r="E507" s="567">
        <f t="shared" si="243"/>
        <v>39.700000000000003</v>
      </c>
      <c r="F507" s="567">
        <v>0</v>
      </c>
      <c r="G507" s="567">
        <v>0</v>
      </c>
      <c r="H507" s="567">
        <v>0</v>
      </c>
      <c r="I507" s="567">
        <v>39.700000000000003</v>
      </c>
      <c r="J507" s="567">
        <v>0</v>
      </c>
      <c r="K507" s="52">
        <f t="shared" si="224"/>
        <v>39.700000000000003</v>
      </c>
      <c r="L507" s="531"/>
      <c r="M507" s="230"/>
      <c r="N507" s="231"/>
      <c r="O507" s="520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6"/>
    </row>
    <row r="508" spans="1:57" s="48" customFormat="1" ht="32.25" customHeight="1" x14ac:dyDescent="0.2">
      <c r="A508" s="662" t="s">
        <v>812</v>
      </c>
      <c r="B508" s="631" t="s">
        <v>813</v>
      </c>
      <c r="C508" s="631" t="s">
        <v>839</v>
      </c>
      <c r="D508" s="46" t="s">
        <v>198</v>
      </c>
      <c r="E508" s="47">
        <f>E509</f>
        <v>5.05</v>
      </c>
      <c r="F508" s="47">
        <f t="shared" ref="F508:J508" si="244">F509</f>
        <v>0</v>
      </c>
      <c r="G508" s="47">
        <f t="shared" si="244"/>
        <v>0</v>
      </c>
      <c r="H508" s="47">
        <f t="shared" si="244"/>
        <v>5</v>
      </c>
      <c r="I508" s="47">
        <f t="shared" si="244"/>
        <v>0</v>
      </c>
      <c r="J508" s="47">
        <f t="shared" si="244"/>
        <v>0.05</v>
      </c>
      <c r="K508" s="52">
        <f t="shared" si="224"/>
        <v>5.05</v>
      </c>
      <c r="L508" s="232"/>
      <c r="M508" s="77"/>
      <c r="N508" s="231"/>
      <c r="O508" s="519" t="s">
        <v>236</v>
      </c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6"/>
    </row>
    <row r="509" spans="1:57" s="48" customFormat="1" ht="42" customHeight="1" x14ac:dyDescent="0.2">
      <c r="A509" s="664"/>
      <c r="B509" s="632"/>
      <c r="C509" s="632"/>
      <c r="D509" s="470">
        <v>2020</v>
      </c>
      <c r="E509" s="567">
        <f>F509+G509+H509+I509+J509</f>
        <v>5.05</v>
      </c>
      <c r="F509" s="567">
        <v>0</v>
      </c>
      <c r="G509" s="567">
        <v>0</v>
      </c>
      <c r="H509" s="567">
        <v>5</v>
      </c>
      <c r="I509" s="567">
        <v>0</v>
      </c>
      <c r="J509" s="567">
        <v>0.05</v>
      </c>
      <c r="K509" s="52">
        <f t="shared" si="224"/>
        <v>5.05</v>
      </c>
      <c r="L509" s="546" t="s">
        <v>814</v>
      </c>
      <c r="M509" s="77"/>
      <c r="N509" s="231"/>
      <c r="O509" s="520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6"/>
    </row>
    <row r="510" spans="1:57" s="48" customFormat="1" ht="51" customHeight="1" x14ac:dyDescent="0.2">
      <c r="A510" s="662" t="s">
        <v>815</v>
      </c>
      <c r="B510" s="631" t="s">
        <v>816</v>
      </c>
      <c r="C510" s="631" t="s">
        <v>394</v>
      </c>
      <c r="D510" s="46" t="s">
        <v>198</v>
      </c>
      <c r="E510" s="47">
        <f>E511+E512</f>
        <v>1116.9765</v>
      </c>
      <c r="F510" s="47">
        <f t="shared" ref="F510:J510" si="245">F511+F512</f>
        <v>0</v>
      </c>
      <c r="G510" s="47">
        <f t="shared" si="245"/>
        <v>211.04910000000001</v>
      </c>
      <c r="H510" s="47">
        <f t="shared" si="245"/>
        <v>905.92739999999992</v>
      </c>
      <c r="I510" s="47">
        <f t="shared" si="245"/>
        <v>0</v>
      </c>
      <c r="J510" s="47">
        <f t="shared" si="245"/>
        <v>0</v>
      </c>
      <c r="K510" s="52">
        <f t="shared" si="224"/>
        <v>1116.9765</v>
      </c>
      <c r="L510" s="824" t="s">
        <v>818</v>
      </c>
      <c r="M510" s="77"/>
      <c r="N510" s="231"/>
      <c r="O510" s="746" t="s">
        <v>817</v>
      </c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6"/>
    </row>
    <row r="511" spans="1:57" s="48" customFormat="1" ht="21" customHeight="1" x14ac:dyDescent="0.2">
      <c r="A511" s="663"/>
      <c r="B511" s="648"/>
      <c r="C511" s="648"/>
      <c r="D511" s="470">
        <v>2019</v>
      </c>
      <c r="E511" s="567">
        <f>F511+G511+H511+I511+J511</f>
        <v>299.50909999999999</v>
      </c>
      <c r="F511" s="567">
        <v>0</v>
      </c>
      <c r="G511" s="567">
        <v>99.615399999999994</v>
      </c>
      <c r="H511" s="567">
        <v>199.8937</v>
      </c>
      <c r="I511" s="567">
        <v>0</v>
      </c>
      <c r="J511" s="567">
        <v>0</v>
      </c>
      <c r="K511" s="52">
        <f t="shared" si="224"/>
        <v>299.50909999999999</v>
      </c>
      <c r="L511" s="825"/>
      <c r="M511" s="77"/>
      <c r="N511" s="231"/>
      <c r="O511" s="747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6"/>
    </row>
    <row r="512" spans="1:57" s="48" customFormat="1" ht="37.5" customHeight="1" x14ac:dyDescent="0.2">
      <c r="A512" s="664"/>
      <c r="B512" s="632"/>
      <c r="C512" s="632"/>
      <c r="D512" s="470">
        <v>2020</v>
      </c>
      <c r="E512" s="567">
        <f>F512+G512+H512+I512+J512</f>
        <v>817.4674</v>
      </c>
      <c r="F512" s="567">
        <v>0</v>
      </c>
      <c r="G512" s="567">
        <v>111.4337</v>
      </c>
      <c r="H512" s="567">
        <v>706.03369999999995</v>
      </c>
      <c r="I512" s="567">
        <v>0</v>
      </c>
      <c r="J512" s="567">
        <v>0</v>
      </c>
      <c r="K512" s="52">
        <f t="shared" si="224"/>
        <v>817.4674</v>
      </c>
      <c r="L512" s="826"/>
      <c r="M512" s="77"/>
      <c r="N512" s="231"/>
      <c r="O512" s="748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6"/>
    </row>
    <row r="513" spans="1:57" s="48" customFormat="1" ht="21" customHeight="1" x14ac:dyDescent="0.2">
      <c r="A513" s="964" t="s">
        <v>858</v>
      </c>
      <c r="B513" s="681" t="s">
        <v>991</v>
      </c>
      <c r="D513" s="46" t="s">
        <v>198</v>
      </c>
      <c r="E513" s="47">
        <f>E514+E515+E516+E517+E518+E519+E520</f>
        <v>74.303599999999989</v>
      </c>
      <c r="F513" s="47">
        <f>F514+F515+F516+F517+F518+F519+F520</f>
        <v>74.303599999999989</v>
      </c>
      <c r="G513" s="47">
        <f t="shared" ref="G513:J513" si="246">G514+G515+G516</f>
        <v>0</v>
      </c>
      <c r="H513" s="47">
        <f t="shared" si="246"/>
        <v>0</v>
      </c>
      <c r="I513" s="47">
        <f t="shared" si="246"/>
        <v>0</v>
      </c>
      <c r="J513" s="47">
        <f t="shared" si="246"/>
        <v>0</v>
      </c>
      <c r="K513" s="52">
        <f t="shared" si="224"/>
        <v>74.303599999999989</v>
      </c>
      <c r="L513" s="234"/>
      <c r="M513" s="77"/>
      <c r="N513" s="231"/>
      <c r="O513" s="788" t="s">
        <v>599</v>
      </c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6"/>
    </row>
    <row r="514" spans="1:57" s="48" customFormat="1" ht="51" x14ac:dyDescent="0.2">
      <c r="A514" s="964"/>
      <c r="B514" s="681"/>
      <c r="C514" s="490" t="s">
        <v>540</v>
      </c>
      <c r="D514" s="470">
        <v>2019</v>
      </c>
      <c r="E514" s="567">
        <f>F514+G514+H514+I514+J514</f>
        <v>7.9199000000000002</v>
      </c>
      <c r="F514" s="567">
        <v>7.9199000000000002</v>
      </c>
      <c r="G514" s="567">
        <v>0</v>
      </c>
      <c r="H514" s="567">
        <v>0</v>
      </c>
      <c r="I514" s="567">
        <v>0</v>
      </c>
      <c r="J514" s="567">
        <v>0</v>
      </c>
      <c r="K514" s="52">
        <f t="shared" si="224"/>
        <v>7.9199000000000002</v>
      </c>
      <c r="L514" s="234"/>
      <c r="M514" s="77"/>
      <c r="N514" s="231"/>
      <c r="O514" s="789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6"/>
    </row>
    <row r="515" spans="1:57" s="48" customFormat="1" x14ac:dyDescent="0.2">
      <c r="A515" s="663" t="s">
        <v>1101</v>
      </c>
      <c r="B515" s="638" t="s">
        <v>999</v>
      </c>
      <c r="C515" s="638" t="s">
        <v>998</v>
      </c>
      <c r="D515" s="470">
        <v>2020</v>
      </c>
      <c r="E515" s="567">
        <f t="shared" ref="E515:E520" si="247">F515+G515+H515+I515+J515</f>
        <v>8.3096999999999994</v>
      </c>
      <c r="F515" s="567">
        <v>8.3096999999999994</v>
      </c>
      <c r="G515" s="567">
        <v>0</v>
      </c>
      <c r="H515" s="567">
        <v>0</v>
      </c>
      <c r="I515" s="567">
        <v>0</v>
      </c>
      <c r="J515" s="567">
        <v>0</v>
      </c>
      <c r="K515" s="52">
        <f t="shared" si="224"/>
        <v>8.3096999999999994</v>
      </c>
      <c r="L515" s="234"/>
      <c r="M515" s="77"/>
      <c r="N515" s="231"/>
      <c r="O515" s="789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6"/>
    </row>
    <row r="516" spans="1:57" s="48" customFormat="1" ht="12.75" customHeight="1" x14ac:dyDescent="0.2">
      <c r="A516" s="663"/>
      <c r="B516" s="639"/>
      <c r="C516" s="639"/>
      <c r="D516" s="470">
        <v>2021</v>
      </c>
      <c r="E516" s="567">
        <f t="shared" si="247"/>
        <v>8.391</v>
      </c>
      <c r="F516" s="567">
        <v>8.391</v>
      </c>
      <c r="G516" s="567">
        <v>0</v>
      </c>
      <c r="H516" s="567">
        <v>0</v>
      </c>
      <c r="I516" s="567">
        <v>0</v>
      </c>
      <c r="J516" s="567">
        <v>0</v>
      </c>
      <c r="K516" s="52">
        <f t="shared" si="224"/>
        <v>8.391</v>
      </c>
      <c r="L516" s="234"/>
      <c r="M516" s="77"/>
      <c r="N516" s="231"/>
      <c r="O516" s="789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6"/>
    </row>
    <row r="517" spans="1:57" s="48" customFormat="1" x14ac:dyDescent="0.2">
      <c r="A517" s="663"/>
      <c r="B517" s="639"/>
      <c r="C517" s="639"/>
      <c r="D517" s="470">
        <v>2022</v>
      </c>
      <c r="E517" s="567">
        <f t="shared" si="247"/>
        <v>8.7950999999999997</v>
      </c>
      <c r="F517" s="567">
        <v>8.7950999999999997</v>
      </c>
      <c r="G517" s="567">
        <v>0</v>
      </c>
      <c r="H517" s="567">
        <v>0</v>
      </c>
      <c r="I517" s="567">
        <v>0</v>
      </c>
      <c r="J517" s="567">
        <v>0</v>
      </c>
      <c r="K517" s="52">
        <f t="shared" si="224"/>
        <v>8.7950999999999997</v>
      </c>
      <c r="L517" s="234"/>
      <c r="M517" s="77"/>
      <c r="N517" s="231"/>
      <c r="O517" s="789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6"/>
    </row>
    <row r="518" spans="1:57" s="48" customFormat="1" ht="17.25" customHeight="1" x14ac:dyDescent="0.2">
      <c r="A518" s="663"/>
      <c r="B518" s="639"/>
      <c r="C518" s="639"/>
      <c r="D518" s="470">
        <v>2023</v>
      </c>
      <c r="E518" s="567">
        <f t="shared" si="247"/>
        <v>13.0984</v>
      </c>
      <c r="F518" s="567">
        <v>13.0984</v>
      </c>
      <c r="G518" s="567">
        <v>0</v>
      </c>
      <c r="H518" s="567">
        <v>0</v>
      </c>
      <c r="I518" s="567">
        <v>0</v>
      </c>
      <c r="J518" s="567">
        <v>0</v>
      </c>
      <c r="K518" s="52">
        <f t="shared" ref="K518:K580" si="248">F518+G518+H518+I518+J518</f>
        <v>13.0984</v>
      </c>
      <c r="L518" s="234"/>
      <c r="M518" s="77"/>
      <c r="N518" s="231"/>
      <c r="O518" s="789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6"/>
    </row>
    <row r="519" spans="1:57" s="48" customFormat="1" x14ac:dyDescent="0.2">
      <c r="A519" s="663"/>
      <c r="B519" s="639"/>
      <c r="C519" s="639"/>
      <c r="D519" s="470">
        <v>2024</v>
      </c>
      <c r="E519" s="567">
        <f t="shared" si="247"/>
        <v>13.622299999999999</v>
      </c>
      <c r="F519" s="567">
        <v>13.622299999999999</v>
      </c>
      <c r="G519" s="567">
        <v>0</v>
      </c>
      <c r="H519" s="567">
        <v>0</v>
      </c>
      <c r="I519" s="567">
        <v>0</v>
      </c>
      <c r="J519" s="567">
        <v>0</v>
      </c>
      <c r="K519" s="52">
        <f t="shared" si="248"/>
        <v>13.622299999999999</v>
      </c>
      <c r="L519" s="234"/>
      <c r="M519" s="77"/>
      <c r="N519" s="231"/>
      <c r="O519" s="789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6"/>
    </row>
    <row r="520" spans="1:57" s="48" customFormat="1" x14ac:dyDescent="0.2">
      <c r="A520" s="664"/>
      <c r="B520" s="640"/>
      <c r="C520" s="640"/>
      <c r="D520" s="470">
        <v>2025</v>
      </c>
      <c r="E520" s="567">
        <f t="shared" si="247"/>
        <v>14.167199999999999</v>
      </c>
      <c r="F520" s="60">
        <v>14.167199999999999</v>
      </c>
      <c r="G520" s="567">
        <v>0</v>
      </c>
      <c r="H520" s="567">
        <v>0</v>
      </c>
      <c r="I520" s="567">
        <v>0</v>
      </c>
      <c r="J520" s="567">
        <v>0</v>
      </c>
      <c r="K520" s="52">
        <f t="shared" si="248"/>
        <v>14.167199999999999</v>
      </c>
      <c r="L520" s="234"/>
      <c r="M520" s="77"/>
      <c r="N520" s="231"/>
      <c r="O520" s="790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6"/>
    </row>
    <row r="521" spans="1:57" s="48" customFormat="1" x14ac:dyDescent="0.2">
      <c r="A521" s="662" t="s">
        <v>1102</v>
      </c>
      <c r="B521" s="705" t="s">
        <v>874</v>
      </c>
      <c r="C521" s="705" t="s">
        <v>540</v>
      </c>
      <c r="D521" s="46" t="s">
        <v>198</v>
      </c>
      <c r="E521" s="47">
        <f>E522+E523</f>
        <v>12.9</v>
      </c>
      <c r="F521" s="47">
        <f>F522+F523</f>
        <v>12.9</v>
      </c>
      <c r="G521" s="47">
        <f t="shared" ref="G521:J521" si="249">G522</f>
        <v>0</v>
      </c>
      <c r="H521" s="47">
        <f t="shared" si="249"/>
        <v>0</v>
      </c>
      <c r="I521" s="47">
        <f t="shared" si="249"/>
        <v>0</v>
      </c>
      <c r="J521" s="47">
        <f t="shared" si="249"/>
        <v>0</v>
      </c>
      <c r="K521" s="52">
        <f t="shared" si="248"/>
        <v>12.9</v>
      </c>
      <c r="L521" s="234"/>
      <c r="M521" s="77"/>
      <c r="N521" s="231"/>
      <c r="O521" s="746" t="s">
        <v>599</v>
      </c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6"/>
    </row>
    <row r="522" spans="1:57" s="48" customFormat="1" ht="96" customHeight="1" x14ac:dyDescent="0.2">
      <c r="A522" s="663"/>
      <c r="B522" s="706"/>
      <c r="C522" s="706"/>
      <c r="D522" s="470">
        <v>2019</v>
      </c>
      <c r="E522" s="567">
        <f>F522+G522+H522+I522+J522</f>
        <v>9.9</v>
      </c>
      <c r="F522" s="567">
        <v>9.9</v>
      </c>
      <c r="G522" s="567">
        <v>0</v>
      </c>
      <c r="H522" s="567">
        <v>0</v>
      </c>
      <c r="I522" s="567">
        <v>0</v>
      </c>
      <c r="J522" s="567">
        <v>0</v>
      </c>
      <c r="K522" s="52">
        <f t="shared" si="248"/>
        <v>9.9</v>
      </c>
      <c r="L522" s="234"/>
      <c r="M522" s="77"/>
      <c r="N522" s="231"/>
      <c r="O522" s="747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6"/>
    </row>
    <row r="523" spans="1:57" s="48" customFormat="1" ht="19.5" customHeight="1" x14ac:dyDescent="0.2">
      <c r="A523" s="545"/>
      <c r="B523" s="503"/>
      <c r="C523" s="503"/>
      <c r="D523" s="470">
        <v>2020</v>
      </c>
      <c r="E523" s="567">
        <f>F523+G523+H523+I523+J523</f>
        <v>3</v>
      </c>
      <c r="F523" s="567">
        <v>3</v>
      </c>
      <c r="G523" s="567">
        <v>0</v>
      </c>
      <c r="H523" s="567">
        <v>0</v>
      </c>
      <c r="I523" s="567">
        <v>0</v>
      </c>
      <c r="J523" s="567">
        <v>0</v>
      </c>
      <c r="K523" s="52">
        <f t="shared" si="248"/>
        <v>3</v>
      </c>
      <c r="L523" s="234"/>
      <c r="M523" s="77"/>
      <c r="N523" s="231"/>
      <c r="O523" s="557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6"/>
    </row>
    <row r="524" spans="1:57" s="48" customFormat="1" ht="15.75" x14ac:dyDescent="0.2">
      <c r="A524" s="481">
        <v>9</v>
      </c>
      <c r="B524" s="479" t="s">
        <v>606</v>
      </c>
      <c r="C524" s="524"/>
      <c r="D524" s="46" t="s">
        <v>198</v>
      </c>
      <c r="E524" s="47">
        <f>E526</f>
        <v>0</v>
      </c>
      <c r="F524" s="47">
        <f t="shared" ref="F524:J525" si="250">F526</f>
        <v>0</v>
      </c>
      <c r="G524" s="47">
        <f t="shared" si="250"/>
        <v>0</v>
      </c>
      <c r="H524" s="47">
        <f t="shared" si="250"/>
        <v>0</v>
      </c>
      <c r="I524" s="47">
        <f t="shared" si="250"/>
        <v>0</v>
      </c>
      <c r="J524" s="47">
        <f t="shared" si="250"/>
        <v>0</v>
      </c>
      <c r="K524" s="52">
        <f t="shared" si="248"/>
        <v>0</v>
      </c>
      <c r="L524" s="235"/>
      <c r="M524" s="77"/>
      <c r="N524" s="231"/>
      <c r="O524" s="521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6"/>
    </row>
    <row r="525" spans="1:57" s="48" customFormat="1" x14ac:dyDescent="0.2">
      <c r="A525" s="486"/>
      <c r="B525" s="499"/>
      <c r="C525" s="499"/>
      <c r="D525" s="470" t="s">
        <v>865</v>
      </c>
      <c r="E525" s="567">
        <f>E527</f>
        <v>0</v>
      </c>
      <c r="F525" s="567">
        <f t="shared" si="250"/>
        <v>0</v>
      </c>
      <c r="G525" s="567">
        <f t="shared" si="250"/>
        <v>0</v>
      </c>
      <c r="H525" s="567">
        <f t="shared" si="250"/>
        <v>0</v>
      </c>
      <c r="I525" s="567">
        <f t="shared" si="250"/>
        <v>0</v>
      </c>
      <c r="J525" s="567">
        <f t="shared" si="250"/>
        <v>0</v>
      </c>
      <c r="K525" s="52">
        <f t="shared" si="248"/>
        <v>0</v>
      </c>
      <c r="L525" s="235"/>
      <c r="M525" s="77"/>
      <c r="N525" s="231"/>
      <c r="O525" s="521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6"/>
    </row>
    <row r="526" spans="1:57" s="48" customFormat="1" ht="49.5" customHeight="1" x14ac:dyDescent="0.2">
      <c r="A526" s="662" t="s">
        <v>382</v>
      </c>
      <c r="B526" s="631" t="s">
        <v>840</v>
      </c>
      <c r="C526" s="758"/>
      <c r="D526" s="46" t="s">
        <v>198</v>
      </c>
      <c r="E526" s="47">
        <f>E527</f>
        <v>0</v>
      </c>
      <c r="F526" s="47">
        <f t="shared" ref="F526:J526" si="251">F527</f>
        <v>0</v>
      </c>
      <c r="G526" s="47">
        <f t="shared" si="251"/>
        <v>0</v>
      </c>
      <c r="H526" s="47">
        <f t="shared" si="251"/>
        <v>0</v>
      </c>
      <c r="I526" s="47">
        <f t="shared" si="251"/>
        <v>0</v>
      </c>
      <c r="J526" s="47">
        <f t="shared" si="251"/>
        <v>0</v>
      </c>
      <c r="K526" s="52">
        <f t="shared" si="248"/>
        <v>0</v>
      </c>
      <c r="L526" s="235"/>
      <c r="M526" s="77"/>
      <c r="N526" s="231"/>
      <c r="O526" s="746" t="s">
        <v>841</v>
      </c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6"/>
    </row>
    <row r="527" spans="1:57" s="48" customFormat="1" ht="18.75" customHeight="1" x14ac:dyDescent="0.2">
      <c r="A527" s="717"/>
      <c r="B527" s="701"/>
      <c r="C527" s="701"/>
      <c r="D527" s="470" t="s">
        <v>865</v>
      </c>
      <c r="E527" s="567">
        <f>F527+G527+H527+I527+J527</f>
        <v>0</v>
      </c>
      <c r="F527" s="567">
        <v>0</v>
      </c>
      <c r="G527" s="567">
        <v>0</v>
      </c>
      <c r="H527" s="567">
        <v>0</v>
      </c>
      <c r="I527" s="567">
        <v>0</v>
      </c>
      <c r="J527" s="567">
        <v>0</v>
      </c>
      <c r="K527" s="52">
        <f t="shared" si="248"/>
        <v>0</v>
      </c>
      <c r="L527" s="235"/>
      <c r="M527" s="77"/>
      <c r="N527" s="231"/>
      <c r="O527" s="701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6"/>
    </row>
    <row r="528" spans="1:57" s="93" customFormat="1" ht="15.75" x14ac:dyDescent="0.25">
      <c r="A528" s="731" t="s">
        <v>392</v>
      </c>
      <c r="B528" s="783" t="s">
        <v>671</v>
      </c>
      <c r="C528" s="783"/>
      <c r="D528" s="46" t="s">
        <v>198</v>
      </c>
      <c r="E528" s="560">
        <f>SUM(E529:E540)</f>
        <v>3.3210000000000002</v>
      </c>
      <c r="F528" s="560">
        <f t="shared" ref="F528:J528" si="252">SUM(F529:F540)</f>
        <v>0</v>
      </c>
      <c r="G528" s="560">
        <f t="shared" si="252"/>
        <v>1.3180000000000001</v>
      </c>
      <c r="H528" s="560">
        <f t="shared" si="252"/>
        <v>1.0069999999999999</v>
      </c>
      <c r="I528" s="560">
        <f t="shared" si="252"/>
        <v>0.996</v>
      </c>
      <c r="J528" s="560">
        <f t="shared" si="252"/>
        <v>0</v>
      </c>
      <c r="K528" s="52">
        <f t="shared" si="248"/>
        <v>3.3210000000000002</v>
      </c>
      <c r="L528" s="52"/>
      <c r="M528" s="50"/>
      <c r="N528" s="51"/>
      <c r="O528" s="557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2"/>
    </row>
    <row r="529" spans="1:57" s="93" customFormat="1" ht="15.75" x14ac:dyDescent="0.25">
      <c r="A529" s="782"/>
      <c r="B529" s="701"/>
      <c r="C529" s="701"/>
      <c r="D529" s="46">
        <v>2019</v>
      </c>
      <c r="E529" s="47">
        <f>E542</f>
        <v>3.3210000000000002</v>
      </c>
      <c r="F529" s="47">
        <f t="shared" ref="F529:J530" si="253">F542</f>
        <v>0</v>
      </c>
      <c r="G529" s="47">
        <f t="shared" si="253"/>
        <v>1.3180000000000001</v>
      </c>
      <c r="H529" s="47">
        <f t="shared" si="253"/>
        <v>1.0069999999999999</v>
      </c>
      <c r="I529" s="47">
        <f t="shared" si="253"/>
        <v>0.996</v>
      </c>
      <c r="J529" s="47">
        <f t="shared" si="253"/>
        <v>0</v>
      </c>
      <c r="K529" s="52">
        <f t="shared" si="248"/>
        <v>3.3210000000000002</v>
      </c>
      <c r="L529" s="52"/>
      <c r="M529" s="50"/>
      <c r="N529" s="51"/>
      <c r="O529" s="557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2"/>
    </row>
    <row r="530" spans="1:57" s="93" customFormat="1" ht="15.75" x14ac:dyDescent="0.25">
      <c r="A530" s="782"/>
      <c r="B530" s="701"/>
      <c r="C530" s="701"/>
      <c r="D530" s="46">
        <v>2020</v>
      </c>
      <c r="E530" s="47">
        <f>E543</f>
        <v>0</v>
      </c>
      <c r="F530" s="47">
        <f t="shared" si="253"/>
        <v>0</v>
      </c>
      <c r="G530" s="47">
        <f t="shared" si="253"/>
        <v>0</v>
      </c>
      <c r="H530" s="47">
        <f t="shared" si="253"/>
        <v>0</v>
      </c>
      <c r="I530" s="47">
        <f t="shared" si="253"/>
        <v>0</v>
      </c>
      <c r="J530" s="47">
        <f t="shared" si="253"/>
        <v>0</v>
      </c>
      <c r="K530" s="52">
        <f t="shared" si="248"/>
        <v>0</v>
      </c>
      <c r="L530" s="52"/>
      <c r="M530" s="50"/>
      <c r="N530" s="51"/>
      <c r="O530" s="557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2"/>
    </row>
    <row r="531" spans="1:57" s="93" customFormat="1" ht="15.75" x14ac:dyDescent="0.25">
      <c r="A531" s="782"/>
      <c r="B531" s="701"/>
      <c r="C531" s="701"/>
      <c r="D531" s="46">
        <v>2021</v>
      </c>
      <c r="E531" s="47">
        <f t="shared" ref="E531:J540" si="254">E544</f>
        <v>0</v>
      </c>
      <c r="F531" s="47">
        <f t="shared" si="254"/>
        <v>0</v>
      </c>
      <c r="G531" s="47">
        <f t="shared" si="254"/>
        <v>0</v>
      </c>
      <c r="H531" s="47">
        <f t="shared" si="254"/>
        <v>0</v>
      </c>
      <c r="I531" s="47">
        <f t="shared" si="254"/>
        <v>0</v>
      </c>
      <c r="J531" s="47">
        <f t="shared" si="254"/>
        <v>0</v>
      </c>
      <c r="K531" s="52">
        <f t="shared" si="248"/>
        <v>0</v>
      </c>
      <c r="L531" s="52"/>
      <c r="M531" s="50"/>
      <c r="N531" s="51"/>
      <c r="O531" s="557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2"/>
    </row>
    <row r="532" spans="1:57" s="93" customFormat="1" ht="15.75" x14ac:dyDescent="0.25">
      <c r="A532" s="782"/>
      <c r="B532" s="701"/>
      <c r="C532" s="701"/>
      <c r="D532" s="46">
        <v>2022</v>
      </c>
      <c r="E532" s="47">
        <f t="shared" si="254"/>
        <v>0</v>
      </c>
      <c r="F532" s="47">
        <f t="shared" si="254"/>
        <v>0</v>
      </c>
      <c r="G532" s="47">
        <f t="shared" si="254"/>
        <v>0</v>
      </c>
      <c r="H532" s="47">
        <f t="shared" si="254"/>
        <v>0</v>
      </c>
      <c r="I532" s="47">
        <f t="shared" si="254"/>
        <v>0</v>
      </c>
      <c r="J532" s="47">
        <f t="shared" si="254"/>
        <v>0</v>
      </c>
      <c r="K532" s="52">
        <f t="shared" si="248"/>
        <v>0</v>
      </c>
      <c r="L532" s="52"/>
      <c r="M532" s="50"/>
      <c r="N532" s="51"/>
      <c r="O532" s="557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2"/>
    </row>
    <row r="533" spans="1:57" s="93" customFormat="1" ht="15.75" x14ac:dyDescent="0.25">
      <c r="A533" s="782"/>
      <c r="B533" s="701"/>
      <c r="C533" s="701"/>
      <c r="D533" s="46">
        <v>2023</v>
      </c>
      <c r="E533" s="47">
        <f t="shared" si="254"/>
        <v>0</v>
      </c>
      <c r="F533" s="47">
        <f t="shared" si="254"/>
        <v>0</v>
      </c>
      <c r="G533" s="47">
        <f t="shared" si="254"/>
        <v>0</v>
      </c>
      <c r="H533" s="47">
        <f t="shared" si="254"/>
        <v>0</v>
      </c>
      <c r="I533" s="47">
        <f t="shared" si="254"/>
        <v>0</v>
      </c>
      <c r="J533" s="47">
        <f t="shared" si="254"/>
        <v>0</v>
      </c>
      <c r="K533" s="52">
        <f t="shared" si="248"/>
        <v>0</v>
      </c>
      <c r="L533" s="52"/>
      <c r="M533" s="50"/>
      <c r="N533" s="51"/>
      <c r="O533" s="557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2"/>
    </row>
    <row r="534" spans="1:57" s="93" customFormat="1" ht="15.75" x14ac:dyDescent="0.25">
      <c r="A534" s="782"/>
      <c r="B534" s="701"/>
      <c r="C534" s="701"/>
      <c r="D534" s="46">
        <v>2024</v>
      </c>
      <c r="E534" s="47">
        <f t="shared" si="254"/>
        <v>0</v>
      </c>
      <c r="F534" s="47">
        <f t="shared" si="254"/>
        <v>0</v>
      </c>
      <c r="G534" s="47">
        <f t="shared" si="254"/>
        <v>0</v>
      </c>
      <c r="H534" s="47">
        <f t="shared" si="254"/>
        <v>0</v>
      </c>
      <c r="I534" s="47">
        <f t="shared" si="254"/>
        <v>0</v>
      </c>
      <c r="J534" s="47">
        <f t="shared" si="254"/>
        <v>0</v>
      </c>
      <c r="K534" s="52">
        <f t="shared" si="248"/>
        <v>0</v>
      </c>
      <c r="L534" s="52"/>
      <c r="M534" s="50"/>
      <c r="N534" s="51"/>
      <c r="O534" s="557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2"/>
    </row>
    <row r="535" spans="1:57" s="93" customFormat="1" ht="15.75" x14ac:dyDescent="0.25">
      <c r="A535" s="782"/>
      <c r="B535" s="701"/>
      <c r="C535" s="701"/>
      <c r="D535" s="46">
        <v>2025</v>
      </c>
      <c r="E535" s="47">
        <f t="shared" si="254"/>
        <v>0</v>
      </c>
      <c r="F535" s="47">
        <f t="shared" si="254"/>
        <v>0</v>
      </c>
      <c r="G535" s="47">
        <f t="shared" si="254"/>
        <v>0</v>
      </c>
      <c r="H535" s="47">
        <f t="shared" si="254"/>
        <v>0</v>
      </c>
      <c r="I535" s="47">
        <f t="shared" si="254"/>
        <v>0</v>
      </c>
      <c r="J535" s="47">
        <f t="shared" si="254"/>
        <v>0</v>
      </c>
      <c r="K535" s="52">
        <f t="shared" si="248"/>
        <v>0</v>
      </c>
      <c r="L535" s="52"/>
      <c r="M535" s="50"/>
      <c r="N535" s="51"/>
      <c r="O535" s="557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2"/>
    </row>
    <row r="536" spans="1:57" s="93" customFormat="1" ht="15.75" x14ac:dyDescent="0.25">
      <c r="A536" s="782"/>
      <c r="B536" s="701"/>
      <c r="C536" s="701"/>
      <c r="D536" s="46">
        <v>2026</v>
      </c>
      <c r="E536" s="47">
        <f t="shared" si="254"/>
        <v>0</v>
      </c>
      <c r="F536" s="47">
        <f t="shared" si="254"/>
        <v>0</v>
      </c>
      <c r="G536" s="47">
        <f t="shared" si="254"/>
        <v>0</v>
      </c>
      <c r="H536" s="47">
        <f t="shared" si="254"/>
        <v>0</v>
      </c>
      <c r="I536" s="47">
        <f t="shared" si="254"/>
        <v>0</v>
      </c>
      <c r="J536" s="47">
        <f t="shared" si="254"/>
        <v>0</v>
      </c>
      <c r="K536" s="52">
        <f t="shared" si="248"/>
        <v>0</v>
      </c>
      <c r="L536" s="52"/>
      <c r="M536" s="50"/>
      <c r="N536" s="51"/>
      <c r="O536" s="557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2"/>
    </row>
    <row r="537" spans="1:57" s="93" customFormat="1" ht="15.75" x14ac:dyDescent="0.25">
      <c r="A537" s="782"/>
      <c r="B537" s="701"/>
      <c r="C537" s="701"/>
      <c r="D537" s="46">
        <v>2027</v>
      </c>
      <c r="E537" s="47">
        <f t="shared" si="254"/>
        <v>0</v>
      </c>
      <c r="F537" s="47">
        <f t="shared" si="254"/>
        <v>0</v>
      </c>
      <c r="G537" s="47">
        <f t="shared" si="254"/>
        <v>0</v>
      </c>
      <c r="H537" s="47">
        <f t="shared" si="254"/>
        <v>0</v>
      </c>
      <c r="I537" s="47">
        <f t="shared" si="254"/>
        <v>0</v>
      </c>
      <c r="J537" s="47">
        <f t="shared" si="254"/>
        <v>0</v>
      </c>
      <c r="K537" s="52">
        <f t="shared" si="248"/>
        <v>0</v>
      </c>
      <c r="L537" s="52"/>
      <c r="M537" s="50"/>
      <c r="N537" s="51"/>
      <c r="O537" s="557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2"/>
    </row>
    <row r="538" spans="1:57" s="93" customFormat="1" ht="15.75" x14ac:dyDescent="0.25">
      <c r="A538" s="782"/>
      <c r="B538" s="701"/>
      <c r="C538" s="701"/>
      <c r="D538" s="46">
        <v>2028</v>
      </c>
      <c r="E538" s="47">
        <f t="shared" si="254"/>
        <v>0</v>
      </c>
      <c r="F538" s="47">
        <f t="shared" si="254"/>
        <v>0</v>
      </c>
      <c r="G538" s="47">
        <f t="shared" si="254"/>
        <v>0</v>
      </c>
      <c r="H538" s="47">
        <f t="shared" si="254"/>
        <v>0</v>
      </c>
      <c r="I538" s="47">
        <f t="shared" si="254"/>
        <v>0</v>
      </c>
      <c r="J538" s="47">
        <f t="shared" si="254"/>
        <v>0</v>
      </c>
      <c r="K538" s="52">
        <f t="shared" si="248"/>
        <v>0</v>
      </c>
      <c r="L538" s="52"/>
      <c r="M538" s="50"/>
      <c r="N538" s="51"/>
      <c r="O538" s="557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2"/>
    </row>
    <row r="539" spans="1:57" s="93" customFormat="1" ht="15.75" x14ac:dyDescent="0.25">
      <c r="A539" s="782"/>
      <c r="B539" s="701"/>
      <c r="C539" s="701"/>
      <c r="D539" s="46">
        <v>2029</v>
      </c>
      <c r="E539" s="47">
        <f t="shared" si="254"/>
        <v>0</v>
      </c>
      <c r="F539" s="47">
        <f t="shared" si="254"/>
        <v>0</v>
      </c>
      <c r="G539" s="47">
        <f t="shared" si="254"/>
        <v>0</v>
      </c>
      <c r="H539" s="47">
        <f t="shared" si="254"/>
        <v>0</v>
      </c>
      <c r="I539" s="47">
        <f t="shared" si="254"/>
        <v>0</v>
      </c>
      <c r="J539" s="47">
        <f t="shared" si="254"/>
        <v>0</v>
      </c>
      <c r="K539" s="52">
        <f t="shared" si="248"/>
        <v>0</v>
      </c>
      <c r="L539" s="52"/>
      <c r="M539" s="50"/>
      <c r="N539" s="51"/>
      <c r="O539" s="557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2"/>
    </row>
    <row r="540" spans="1:57" s="93" customFormat="1" ht="15.75" x14ac:dyDescent="0.25">
      <c r="A540" s="782"/>
      <c r="B540" s="702"/>
      <c r="C540" s="701"/>
      <c r="D540" s="46">
        <v>2030</v>
      </c>
      <c r="E540" s="47">
        <f t="shared" si="254"/>
        <v>0</v>
      </c>
      <c r="F540" s="47">
        <f t="shared" si="254"/>
        <v>0</v>
      </c>
      <c r="G540" s="47">
        <f t="shared" si="254"/>
        <v>0</v>
      </c>
      <c r="H540" s="47">
        <f t="shared" si="254"/>
        <v>0</v>
      </c>
      <c r="I540" s="47">
        <f t="shared" si="254"/>
        <v>0</v>
      </c>
      <c r="J540" s="47">
        <f t="shared" si="254"/>
        <v>0</v>
      </c>
      <c r="K540" s="52">
        <f t="shared" si="248"/>
        <v>0</v>
      </c>
      <c r="L540" s="52"/>
      <c r="M540" s="50"/>
      <c r="N540" s="51"/>
      <c r="O540" s="557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2"/>
    </row>
    <row r="541" spans="1:57" s="48" customFormat="1" ht="21" customHeight="1" x14ac:dyDescent="0.2">
      <c r="A541" s="662" t="s">
        <v>383</v>
      </c>
      <c r="B541" s="631" t="s">
        <v>418</v>
      </c>
      <c r="C541" s="137"/>
      <c r="D541" s="46" t="s">
        <v>198</v>
      </c>
      <c r="E541" s="61">
        <f>E542+E543+E544+E545+E546+E547+E548+E549+E550+E551+E552+E553</f>
        <v>3.3210000000000002</v>
      </c>
      <c r="F541" s="61">
        <f t="shared" ref="F541:J541" si="255">F542+F543+F544+F545+F546+F547+F548+F549+F550+F551+F552+F553</f>
        <v>0</v>
      </c>
      <c r="G541" s="61">
        <f t="shared" si="255"/>
        <v>1.3180000000000001</v>
      </c>
      <c r="H541" s="61">
        <f>H542+H543+H544+H545+H546+H547+H548+H549+H550+H551+H552+H553</f>
        <v>1.0069999999999999</v>
      </c>
      <c r="I541" s="61">
        <f t="shared" si="255"/>
        <v>0.996</v>
      </c>
      <c r="J541" s="61">
        <f t="shared" si="255"/>
        <v>0</v>
      </c>
      <c r="K541" s="52">
        <f t="shared" si="248"/>
        <v>3.3210000000000002</v>
      </c>
      <c r="L541" s="52"/>
      <c r="M541" s="50"/>
      <c r="N541" s="51"/>
      <c r="O541" s="767" t="s">
        <v>936</v>
      </c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6"/>
    </row>
    <row r="542" spans="1:57" s="48" customFormat="1" ht="12.75" customHeight="1" x14ac:dyDescent="0.2">
      <c r="A542" s="717"/>
      <c r="B542" s="701"/>
      <c r="C542" s="631" t="s">
        <v>397</v>
      </c>
      <c r="D542" s="470">
        <v>2019</v>
      </c>
      <c r="E542" s="567">
        <f>F542+G542+H542+I542+J542</f>
        <v>3.3210000000000002</v>
      </c>
      <c r="F542" s="567">
        <v>0</v>
      </c>
      <c r="G542" s="567">
        <v>1.3180000000000001</v>
      </c>
      <c r="H542" s="567">
        <v>1.0069999999999999</v>
      </c>
      <c r="I542" s="567">
        <v>0.996</v>
      </c>
      <c r="J542" s="567">
        <v>0</v>
      </c>
      <c r="K542" s="52">
        <f t="shared" si="248"/>
        <v>3.3210000000000002</v>
      </c>
      <c r="L542" s="53"/>
      <c r="M542" s="50"/>
      <c r="N542" s="51"/>
      <c r="O542" s="768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6"/>
    </row>
    <row r="543" spans="1:57" s="48" customFormat="1" x14ac:dyDescent="0.2">
      <c r="A543" s="717"/>
      <c r="B543" s="701"/>
      <c r="C543" s="648"/>
      <c r="D543" s="470">
        <v>2020</v>
      </c>
      <c r="E543" s="567">
        <f>F543+G543+H543+I543+J543</f>
        <v>0</v>
      </c>
      <c r="F543" s="567">
        <v>0</v>
      </c>
      <c r="G543" s="567">
        <v>0</v>
      </c>
      <c r="H543" s="567">
        <v>0</v>
      </c>
      <c r="I543" s="567">
        <v>0</v>
      </c>
      <c r="J543" s="567">
        <v>0</v>
      </c>
      <c r="K543" s="52">
        <f t="shared" si="248"/>
        <v>0</v>
      </c>
      <c r="L543" s="53"/>
      <c r="M543" s="50"/>
      <c r="N543" s="51"/>
      <c r="O543" s="768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6"/>
    </row>
    <row r="544" spans="1:57" s="48" customFormat="1" x14ac:dyDescent="0.2">
      <c r="A544" s="717"/>
      <c r="B544" s="701"/>
      <c r="C544" s="648"/>
      <c r="D544" s="470">
        <v>2021</v>
      </c>
      <c r="E544" s="567">
        <f t="shared" ref="E544:E553" si="256">F544+G544+H544+I544+J544</f>
        <v>0</v>
      </c>
      <c r="F544" s="567">
        <v>0</v>
      </c>
      <c r="G544" s="567">
        <v>0</v>
      </c>
      <c r="H544" s="567">
        <v>0</v>
      </c>
      <c r="I544" s="567">
        <v>0</v>
      </c>
      <c r="J544" s="567">
        <v>0</v>
      </c>
      <c r="K544" s="52">
        <f t="shared" si="248"/>
        <v>0</v>
      </c>
      <c r="L544" s="53"/>
      <c r="M544" s="50"/>
      <c r="N544" s="51"/>
      <c r="O544" s="768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6"/>
    </row>
    <row r="545" spans="1:57" s="48" customFormat="1" x14ac:dyDescent="0.2">
      <c r="A545" s="717"/>
      <c r="B545" s="701"/>
      <c r="C545" s="648"/>
      <c r="D545" s="470">
        <v>2022</v>
      </c>
      <c r="E545" s="567">
        <f t="shared" si="256"/>
        <v>0</v>
      </c>
      <c r="F545" s="567">
        <v>0</v>
      </c>
      <c r="G545" s="567">
        <v>0</v>
      </c>
      <c r="H545" s="567">
        <v>0</v>
      </c>
      <c r="I545" s="567">
        <v>0</v>
      </c>
      <c r="J545" s="567">
        <v>0</v>
      </c>
      <c r="K545" s="52">
        <f t="shared" si="248"/>
        <v>0</v>
      </c>
      <c r="L545" s="53"/>
      <c r="M545" s="50"/>
      <c r="N545" s="51"/>
      <c r="O545" s="768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6"/>
    </row>
    <row r="546" spans="1:57" s="48" customFormat="1" x14ac:dyDescent="0.2">
      <c r="A546" s="717"/>
      <c r="B546" s="701"/>
      <c r="C546" s="648"/>
      <c r="D546" s="470">
        <v>2023</v>
      </c>
      <c r="E546" s="567">
        <f t="shared" si="256"/>
        <v>0</v>
      </c>
      <c r="F546" s="567">
        <v>0</v>
      </c>
      <c r="G546" s="567">
        <v>0</v>
      </c>
      <c r="H546" s="567">
        <v>0</v>
      </c>
      <c r="I546" s="567">
        <v>0</v>
      </c>
      <c r="J546" s="567">
        <v>0</v>
      </c>
      <c r="K546" s="52">
        <f t="shared" si="248"/>
        <v>0</v>
      </c>
      <c r="L546" s="53"/>
      <c r="M546" s="50"/>
      <c r="N546" s="51"/>
      <c r="O546" s="768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6"/>
    </row>
    <row r="547" spans="1:57" s="48" customFormat="1" x14ac:dyDescent="0.2">
      <c r="A547" s="717"/>
      <c r="B547" s="701"/>
      <c r="C547" s="648"/>
      <c r="D547" s="470">
        <v>2024</v>
      </c>
      <c r="E547" s="567">
        <f t="shared" si="256"/>
        <v>0</v>
      </c>
      <c r="F547" s="567">
        <v>0</v>
      </c>
      <c r="G547" s="567">
        <v>0</v>
      </c>
      <c r="H547" s="567">
        <v>0</v>
      </c>
      <c r="I547" s="567">
        <v>0</v>
      </c>
      <c r="J547" s="567">
        <v>0</v>
      </c>
      <c r="K547" s="52">
        <f t="shared" si="248"/>
        <v>0</v>
      </c>
      <c r="L547" s="53"/>
      <c r="M547" s="50"/>
      <c r="N547" s="51"/>
      <c r="O547" s="768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6"/>
    </row>
    <row r="548" spans="1:57" s="48" customFormat="1" x14ac:dyDescent="0.2">
      <c r="A548" s="717"/>
      <c r="B548" s="701"/>
      <c r="C548" s="648"/>
      <c r="D548" s="470">
        <v>2025</v>
      </c>
      <c r="E548" s="567">
        <f t="shared" si="256"/>
        <v>0</v>
      </c>
      <c r="F548" s="567">
        <v>0</v>
      </c>
      <c r="G548" s="567">
        <v>0</v>
      </c>
      <c r="H548" s="567">
        <v>0</v>
      </c>
      <c r="I548" s="567">
        <v>0</v>
      </c>
      <c r="J548" s="567">
        <v>0</v>
      </c>
      <c r="K548" s="52">
        <f t="shared" si="248"/>
        <v>0</v>
      </c>
      <c r="L548" s="53"/>
      <c r="M548" s="50"/>
      <c r="N548" s="51"/>
      <c r="O548" s="768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6"/>
    </row>
    <row r="549" spans="1:57" s="48" customFormat="1" ht="12.75" customHeight="1" x14ac:dyDescent="0.2">
      <c r="A549" s="717"/>
      <c r="B549" s="701"/>
      <c r="C549" s="678" t="s">
        <v>962</v>
      </c>
      <c r="D549" s="470">
        <v>2026</v>
      </c>
      <c r="E549" s="567">
        <f t="shared" si="256"/>
        <v>0</v>
      </c>
      <c r="F549" s="567">
        <v>0</v>
      </c>
      <c r="G549" s="567">
        <v>0</v>
      </c>
      <c r="H549" s="567">
        <v>0</v>
      </c>
      <c r="I549" s="567">
        <v>0</v>
      </c>
      <c r="J549" s="567">
        <v>0</v>
      </c>
      <c r="K549" s="52">
        <f t="shared" si="248"/>
        <v>0</v>
      </c>
      <c r="L549" s="53"/>
      <c r="M549" s="50"/>
      <c r="N549" s="51"/>
      <c r="O549" s="768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6"/>
    </row>
    <row r="550" spans="1:57" s="48" customFormat="1" x14ac:dyDescent="0.2">
      <c r="A550" s="717"/>
      <c r="B550" s="701"/>
      <c r="C550" s="678"/>
      <c r="D550" s="470">
        <v>2027</v>
      </c>
      <c r="E550" s="567">
        <f t="shared" si="256"/>
        <v>0</v>
      </c>
      <c r="F550" s="567">
        <v>0</v>
      </c>
      <c r="G550" s="567">
        <v>0</v>
      </c>
      <c r="H550" s="567">
        <v>0</v>
      </c>
      <c r="I550" s="567">
        <v>0</v>
      </c>
      <c r="J550" s="567">
        <v>0</v>
      </c>
      <c r="K550" s="52">
        <f t="shared" si="248"/>
        <v>0</v>
      </c>
      <c r="L550" s="53"/>
      <c r="M550" s="50"/>
      <c r="N550" s="51"/>
      <c r="O550" s="768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6"/>
    </row>
    <row r="551" spans="1:57" s="48" customFormat="1" x14ac:dyDescent="0.2">
      <c r="A551" s="717"/>
      <c r="B551" s="701"/>
      <c r="C551" s="678"/>
      <c r="D551" s="470">
        <v>2028</v>
      </c>
      <c r="E551" s="567">
        <f t="shared" si="256"/>
        <v>0</v>
      </c>
      <c r="F551" s="567">
        <v>0</v>
      </c>
      <c r="G551" s="567">
        <v>0</v>
      </c>
      <c r="H551" s="567">
        <v>0</v>
      </c>
      <c r="I551" s="567">
        <v>0</v>
      </c>
      <c r="J551" s="567">
        <v>0</v>
      </c>
      <c r="K551" s="52">
        <f t="shared" si="248"/>
        <v>0</v>
      </c>
      <c r="L551" s="53"/>
      <c r="M551" s="50"/>
      <c r="N551" s="51"/>
      <c r="O551" s="768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6"/>
    </row>
    <row r="552" spans="1:57" s="48" customFormat="1" x14ac:dyDescent="0.2">
      <c r="A552" s="717"/>
      <c r="B552" s="701"/>
      <c r="C552" s="678"/>
      <c r="D552" s="470">
        <v>2029</v>
      </c>
      <c r="E552" s="567">
        <f t="shared" si="256"/>
        <v>0</v>
      </c>
      <c r="F552" s="567">
        <v>0</v>
      </c>
      <c r="G552" s="567">
        <v>0</v>
      </c>
      <c r="H552" s="567">
        <v>0</v>
      </c>
      <c r="I552" s="567">
        <v>0</v>
      </c>
      <c r="J552" s="567">
        <v>0</v>
      </c>
      <c r="K552" s="52">
        <f t="shared" si="248"/>
        <v>0</v>
      </c>
      <c r="L552" s="53"/>
      <c r="M552" s="50"/>
      <c r="N552" s="51"/>
      <c r="O552" s="768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6"/>
    </row>
    <row r="553" spans="1:57" s="48" customFormat="1" ht="12.75" customHeight="1" x14ac:dyDescent="0.2">
      <c r="A553" s="734"/>
      <c r="B553" s="702"/>
      <c r="C553" s="678"/>
      <c r="D553" s="470">
        <v>2030</v>
      </c>
      <c r="E553" s="567">
        <f t="shared" si="256"/>
        <v>0</v>
      </c>
      <c r="F553" s="567">
        <v>0</v>
      </c>
      <c r="G553" s="567">
        <v>0</v>
      </c>
      <c r="H553" s="567">
        <v>0</v>
      </c>
      <c r="I553" s="567">
        <v>0</v>
      </c>
      <c r="J553" s="567">
        <v>0</v>
      </c>
      <c r="K553" s="52">
        <f t="shared" si="248"/>
        <v>0</v>
      </c>
      <c r="L553" s="53"/>
      <c r="M553" s="50"/>
      <c r="N553" s="51"/>
      <c r="O553" s="768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6"/>
    </row>
    <row r="554" spans="1:57" s="48" customFormat="1" ht="16.5" customHeight="1" x14ac:dyDescent="0.2">
      <c r="A554" s="820">
        <v>11</v>
      </c>
      <c r="B554" s="649" t="s">
        <v>607</v>
      </c>
      <c r="C554" s="821"/>
      <c r="D554" s="46" t="s">
        <v>198</v>
      </c>
      <c r="E554" s="47">
        <f>E561</f>
        <v>4.5951000000000004</v>
      </c>
      <c r="F554" s="47">
        <f t="shared" ref="F554:J554" si="257">F561</f>
        <v>4.5951000000000004</v>
      </c>
      <c r="G554" s="47">
        <f t="shared" si="257"/>
        <v>0</v>
      </c>
      <c r="H554" s="47">
        <f t="shared" si="257"/>
        <v>0</v>
      </c>
      <c r="I554" s="47">
        <f t="shared" si="257"/>
        <v>0</v>
      </c>
      <c r="J554" s="47">
        <f t="shared" si="257"/>
        <v>0</v>
      </c>
      <c r="K554" s="52">
        <f t="shared" si="248"/>
        <v>4.5951000000000004</v>
      </c>
      <c r="L554" s="53"/>
      <c r="M554" s="50"/>
      <c r="N554" s="51"/>
      <c r="O554" s="478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6"/>
    </row>
    <row r="555" spans="1:57" s="48" customFormat="1" ht="16.5" customHeight="1" x14ac:dyDescent="0.2">
      <c r="A555" s="717"/>
      <c r="B555" s="701"/>
      <c r="C555" s="701"/>
      <c r="D555" s="470">
        <v>2020</v>
      </c>
      <c r="E555" s="567">
        <f t="shared" ref="E555:E560" si="258">E562</f>
        <v>4.5951000000000004</v>
      </c>
      <c r="F555" s="567">
        <f t="shared" ref="F555:J560" si="259">F562</f>
        <v>4.5951000000000004</v>
      </c>
      <c r="G555" s="567">
        <f t="shared" si="259"/>
        <v>0</v>
      </c>
      <c r="H555" s="567">
        <f t="shared" si="259"/>
        <v>0</v>
      </c>
      <c r="I555" s="567">
        <f t="shared" si="259"/>
        <v>0</v>
      </c>
      <c r="J555" s="567">
        <f t="shared" si="259"/>
        <v>0</v>
      </c>
      <c r="K555" s="52">
        <f t="shared" si="248"/>
        <v>4.5951000000000004</v>
      </c>
      <c r="L555" s="53"/>
      <c r="M555" s="50"/>
      <c r="N555" s="51"/>
      <c r="O555" s="478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6"/>
    </row>
    <row r="556" spans="1:57" s="48" customFormat="1" ht="16.5" customHeight="1" x14ac:dyDescent="0.2">
      <c r="A556" s="717"/>
      <c r="B556" s="701"/>
      <c r="C556" s="701"/>
      <c r="D556" s="470">
        <v>2021</v>
      </c>
      <c r="E556" s="567">
        <f t="shared" si="258"/>
        <v>0</v>
      </c>
      <c r="F556" s="567">
        <f t="shared" si="259"/>
        <v>0</v>
      </c>
      <c r="G556" s="567">
        <f t="shared" si="259"/>
        <v>0</v>
      </c>
      <c r="H556" s="567">
        <f t="shared" si="259"/>
        <v>0</v>
      </c>
      <c r="I556" s="567">
        <f t="shared" si="259"/>
        <v>0</v>
      </c>
      <c r="J556" s="567">
        <f t="shared" si="259"/>
        <v>0</v>
      </c>
      <c r="K556" s="52">
        <f t="shared" si="248"/>
        <v>0</v>
      </c>
      <c r="L556" s="53"/>
      <c r="M556" s="50"/>
      <c r="N556" s="51"/>
      <c r="O556" s="473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6"/>
    </row>
    <row r="557" spans="1:57" s="48" customFormat="1" ht="16.5" customHeight="1" x14ac:dyDescent="0.2">
      <c r="A557" s="717"/>
      <c r="B557" s="701"/>
      <c r="C557" s="701"/>
      <c r="D557" s="470">
        <v>2022</v>
      </c>
      <c r="E557" s="567">
        <f t="shared" si="258"/>
        <v>0</v>
      </c>
      <c r="F557" s="567">
        <f t="shared" si="259"/>
        <v>0</v>
      </c>
      <c r="G557" s="567">
        <f t="shared" si="259"/>
        <v>0</v>
      </c>
      <c r="H557" s="567">
        <f t="shared" si="259"/>
        <v>0</v>
      </c>
      <c r="I557" s="567">
        <f t="shared" si="259"/>
        <v>0</v>
      </c>
      <c r="J557" s="567">
        <f t="shared" si="259"/>
        <v>0</v>
      </c>
      <c r="K557" s="52">
        <f t="shared" si="248"/>
        <v>0</v>
      </c>
      <c r="L557" s="53"/>
      <c r="M557" s="50"/>
      <c r="N557" s="51"/>
      <c r="O557" s="499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6"/>
    </row>
    <row r="558" spans="1:57" s="48" customFormat="1" ht="16.5" customHeight="1" x14ac:dyDescent="0.2">
      <c r="A558" s="717"/>
      <c r="B558" s="701"/>
      <c r="C558" s="701"/>
      <c r="D558" s="470">
        <v>2023</v>
      </c>
      <c r="E558" s="567">
        <f t="shared" si="258"/>
        <v>0</v>
      </c>
      <c r="F558" s="567">
        <f t="shared" si="259"/>
        <v>0</v>
      </c>
      <c r="G558" s="567">
        <f t="shared" si="259"/>
        <v>0</v>
      </c>
      <c r="H558" s="567">
        <f t="shared" si="259"/>
        <v>0</v>
      </c>
      <c r="I558" s="567">
        <f t="shared" si="259"/>
        <v>0</v>
      </c>
      <c r="J558" s="567">
        <f t="shared" si="259"/>
        <v>0</v>
      </c>
      <c r="K558" s="52">
        <f t="shared" si="248"/>
        <v>0</v>
      </c>
      <c r="L558" s="53"/>
      <c r="M558" s="50"/>
      <c r="N558" s="51"/>
      <c r="O558" s="499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6"/>
    </row>
    <row r="559" spans="1:57" s="48" customFormat="1" ht="16.5" customHeight="1" x14ac:dyDescent="0.2">
      <c r="A559" s="717"/>
      <c r="B559" s="701"/>
      <c r="C559" s="701"/>
      <c r="D559" s="60">
        <v>2024</v>
      </c>
      <c r="E559" s="61">
        <f t="shared" si="258"/>
        <v>0</v>
      </c>
      <c r="F559" s="61">
        <f t="shared" si="259"/>
        <v>0</v>
      </c>
      <c r="G559" s="61">
        <f t="shared" si="259"/>
        <v>0</v>
      </c>
      <c r="H559" s="61">
        <f t="shared" si="259"/>
        <v>0</v>
      </c>
      <c r="I559" s="61">
        <f t="shared" si="259"/>
        <v>0</v>
      </c>
      <c r="J559" s="61">
        <f t="shared" si="259"/>
        <v>0</v>
      </c>
      <c r="K559" s="52">
        <f t="shared" si="248"/>
        <v>0</v>
      </c>
      <c r="L559" s="53"/>
      <c r="M559" s="50"/>
      <c r="N559" s="51"/>
      <c r="O559" s="499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6"/>
    </row>
    <row r="560" spans="1:57" s="48" customFormat="1" ht="16.5" customHeight="1" x14ac:dyDescent="0.2">
      <c r="A560" s="507"/>
      <c r="B560" s="499"/>
      <c r="C560" s="499"/>
      <c r="D560" s="470">
        <v>2025</v>
      </c>
      <c r="E560" s="567">
        <f t="shared" si="258"/>
        <v>0</v>
      </c>
      <c r="F560" s="567">
        <f t="shared" si="259"/>
        <v>0</v>
      </c>
      <c r="G560" s="567">
        <f t="shared" si="259"/>
        <v>0</v>
      </c>
      <c r="H560" s="567">
        <f t="shared" si="259"/>
        <v>0</v>
      </c>
      <c r="I560" s="567">
        <f t="shared" si="259"/>
        <v>0</v>
      </c>
      <c r="J560" s="567">
        <f t="shared" si="259"/>
        <v>0</v>
      </c>
      <c r="K560" s="52">
        <f t="shared" si="248"/>
        <v>0</v>
      </c>
      <c r="L560" s="53"/>
      <c r="M560" s="50"/>
      <c r="N560" s="51"/>
      <c r="O560" s="499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6"/>
    </row>
    <row r="561" spans="1:57" s="48" customFormat="1" ht="16.5" customHeight="1" x14ac:dyDescent="0.2">
      <c r="A561" s="670" t="s">
        <v>369</v>
      </c>
      <c r="B561" s="631" t="s">
        <v>851</v>
      </c>
      <c r="C561" s="728" t="s">
        <v>1041</v>
      </c>
      <c r="D561" s="46" t="s">
        <v>198</v>
      </c>
      <c r="E561" s="47">
        <f>E562+E563+E564+E565</f>
        <v>4.5951000000000004</v>
      </c>
      <c r="F561" s="47">
        <f t="shared" ref="F561:J561" si="260">F562+F563+F564+F565</f>
        <v>4.5951000000000004</v>
      </c>
      <c r="G561" s="47">
        <f t="shared" si="260"/>
        <v>0</v>
      </c>
      <c r="H561" s="47">
        <f t="shared" si="260"/>
        <v>0</v>
      </c>
      <c r="I561" s="47">
        <f t="shared" si="260"/>
        <v>0</v>
      </c>
      <c r="J561" s="47">
        <f t="shared" si="260"/>
        <v>0</v>
      </c>
      <c r="K561" s="52">
        <f t="shared" si="248"/>
        <v>4.5951000000000004</v>
      </c>
      <c r="L561" s="53"/>
      <c r="M561" s="50"/>
      <c r="N561" s="51"/>
      <c r="O561" s="499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6"/>
    </row>
    <row r="562" spans="1:57" s="48" customFormat="1" ht="16.5" customHeight="1" x14ac:dyDescent="0.2">
      <c r="A562" s="671"/>
      <c r="B562" s="648"/>
      <c r="C562" s="729"/>
      <c r="D562" s="470">
        <v>2020</v>
      </c>
      <c r="E562" s="567">
        <f t="shared" ref="E562:E567" si="261">F562+G562+H562+I562+J562</f>
        <v>4.5951000000000004</v>
      </c>
      <c r="F562" s="567">
        <v>4.5951000000000004</v>
      </c>
      <c r="G562" s="567">
        <v>0</v>
      </c>
      <c r="H562" s="567">
        <v>0</v>
      </c>
      <c r="I562" s="567">
        <v>0</v>
      </c>
      <c r="J562" s="567">
        <v>0</v>
      </c>
      <c r="K562" s="52">
        <f t="shared" si="248"/>
        <v>4.5951000000000004</v>
      </c>
      <c r="L562" s="53"/>
      <c r="M562" s="50"/>
      <c r="N562" s="51"/>
      <c r="O562" s="648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6"/>
    </row>
    <row r="563" spans="1:57" s="48" customFormat="1" ht="16.5" customHeight="1" x14ac:dyDescent="0.2">
      <c r="A563" s="671"/>
      <c r="B563" s="648"/>
      <c r="C563" s="729"/>
      <c r="D563" s="470">
        <v>2021</v>
      </c>
      <c r="E563" s="567">
        <f t="shared" si="261"/>
        <v>0</v>
      </c>
      <c r="F563" s="567">
        <v>0</v>
      </c>
      <c r="G563" s="567">
        <v>0</v>
      </c>
      <c r="H563" s="567">
        <v>0</v>
      </c>
      <c r="I563" s="567">
        <v>0</v>
      </c>
      <c r="J563" s="567">
        <v>0</v>
      </c>
      <c r="K563" s="52">
        <f t="shared" si="248"/>
        <v>0</v>
      </c>
      <c r="L563" s="53"/>
      <c r="M563" s="50"/>
      <c r="N563" s="51"/>
      <c r="O563" s="648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6"/>
    </row>
    <row r="564" spans="1:57" s="48" customFormat="1" ht="16.5" customHeight="1" x14ac:dyDescent="0.2">
      <c r="A564" s="671"/>
      <c r="B564" s="648"/>
      <c r="C564" s="729"/>
      <c r="D564" s="470">
        <v>2022</v>
      </c>
      <c r="E564" s="567">
        <f t="shared" si="261"/>
        <v>0</v>
      </c>
      <c r="F564" s="567">
        <v>0</v>
      </c>
      <c r="G564" s="567">
        <v>0</v>
      </c>
      <c r="H564" s="567">
        <v>0</v>
      </c>
      <c r="I564" s="567">
        <v>0</v>
      </c>
      <c r="J564" s="567">
        <v>0</v>
      </c>
      <c r="K564" s="52">
        <f t="shared" si="248"/>
        <v>0</v>
      </c>
      <c r="L564" s="53"/>
      <c r="M564" s="50"/>
      <c r="N564" s="51"/>
      <c r="O564" s="648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6"/>
    </row>
    <row r="565" spans="1:57" s="48" customFormat="1" ht="27" customHeight="1" x14ac:dyDescent="0.2">
      <c r="A565" s="671"/>
      <c r="B565" s="648"/>
      <c r="C565" s="729"/>
      <c r="D565" s="470">
        <v>2023</v>
      </c>
      <c r="E565" s="567">
        <f t="shared" si="261"/>
        <v>0</v>
      </c>
      <c r="F565" s="567">
        <v>0</v>
      </c>
      <c r="G565" s="567">
        <v>0</v>
      </c>
      <c r="H565" s="567">
        <v>0</v>
      </c>
      <c r="I565" s="567">
        <v>0</v>
      </c>
      <c r="J565" s="567">
        <v>0</v>
      </c>
      <c r="K565" s="52">
        <f t="shared" si="248"/>
        <v>0</v>
      </c>
      <c r="L565" s="53"/>
      <c r="M565" s="50"/>
      <c r="N565" s="51"/>
      <c r="O565" s="632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6"/>
    </row>
    <row r="566" spans="1:57" s="48" customFormat="1" ht="27" customHeight="1" x14ac:dyDescent="0.2">
      <c r="A566" s="671"/>
      <c r="B566" s="648"/>
      <c r="C566" s="729"/>
      <c r="D566" s="470">
        <v>2024</v>
      </c>
      <c r="E566" s="567">
        <f t="shared" si="261"/>
        <v>0</v>
      </c>
      <c r="F566" s="567">
        <v>0</v>
      </c>
      <c r="G566" s="567">
        <v>0</v>
      </c>
      <c r="H566" s="567">
        <v>0</v>
      </c>
      <c r="I566" s="567">
        <v>0</v>
      </c>
      <c r="J566" s="567">
        <v>0</v>
      </c>
      <c r="K566" s="52">
        <f t="shared" si="248"/>
        <v>0</v>
      </c>
      <c r="L566" s="53"/>
      <c r="M566" s="50"/>
      <c r="N566" s="51"/>
      <c r="O566" s="473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6"/>
    </row>
    <row r="567" spans="1:57" s="48" customFormat="1" ht="21.75" customHeight="1" x14ac:dyDescent="0.2">
      <c r="A567" s="672"/>
      <c r="B567" s="632"/>
      <c r="C567" s="742"/>
      <c r="D567" s="470">
        <v>2025</v>
      </c>
      <c r="E567" s="567">
        <f t="shared" si="261"/>
        <v>0</v>
      </c>
      <c r="F567" s="567">
        <v>0</v>
      </c>
      <c r="G567" s="567">
        <v>0</v>
      </c>
      <c r="H567" s="567">
        <v>0</v>
      </c>
      <c r="I567" s="567">
        <v>0</v>
      </c>
      <c r="J567" s="567">
        <v>0</v>
      </c>
      <c r="K567" s="52">
        <f t="shared" si="248"/>
        <v>0</v>
      </c>
      <c r="L567" s="53"/>
      <c r="M567" s="50"/>
      <c r="N567" s="51"/>
      <c r="O567" s="473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6"/>
    </row>
    <row r="568" spans="1:57" s="90" customFormat="1" ht="12.75" customHeight="1" x14ac:dyDescent="0.2">
      <c r="A568" s="750" t="s">
        <v>403</v>
      </c>
      <c r="B568" s="783" t="s">
        <v>140</v>
      </c>
      <c r="C568" s="534"/>
      <c r="D568" s="46" t="s">
        <v>198</v>
      </c>
      <c r="E568" s="47">
        <f>E569+E570+E571+E572+E573+E574+E575+E576+E577+E578+E579+E580</f>
        <v>1052.9888999999998</v>
      </c>
      <c r="F568" s="47">
        <f t="shared" ref="F568:J568" si="262">F569+F570+F571+F572+F573+F574+F575+F576+F577+F578+F579+F580</f>
        <v>7.7218</v>
      </c>
      <c r="G568" s="47">
        <f t="shared" si="262"/>
        <v>0</v>
      </c>
      <c r="H568" s="47">
        <f t="shared" si="262"/>
        <v>782.8691</v>
      </c>
      <c r="I568" s="47">
        <f t="shared" si="262"/>
        <v>242.01689999999999</v>
      </c>
      <c r="J568" s="47">
        <f t="shared" si="262"/>
        <v>20.381099999999996</v>
      </c>
      <c r="K568" s="52">
        <f t="shared" si="248"/>
        <v>1052.9889000000001</v>
      </c>
      <c r="L568" s="52"/>
      <c r="M568" s="50"/>
      <c r="N568" s="51"/>
      <c r="O568" s="49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9"/>
    </row>
    <row r="569" spans="1:57" s="90" customFormat="1" x14ac:dyDescent="0.2">
      <c r="A569" s="701"/>
      <c r="B569" s="818"/>
      <c r="C569" s="701"/>
      <c r="D569" s="46">
        <v>2019</v>
      </c>
      <c r="E569" s="47">
        <f>E609+E635+E680+E687+E701+E625+E693+E695</f>
        <v>563.55709999999999</v>
      </c>
      <c r="F569" s="47">
        <f>F609+F635+F680+F687+F701+F625+F693+F695</f>
        <v>3.2890000000000001</v>
      </c>
      <c r="G569" s="47">
        <f t="shared" ref="G569:J569" si="263">G609+G635+G680+G687+G701+G625+G693+G695</f>
        <v>0</v>
      </c>
      <c r="H569" s="47">
        <f t="shared" si="263"/>
        <v>530.40409999999997</v>
      </c>
      <c r="I569" s="47">
        <f t="shared" si="263"/>
        <v>14.1075</v>
      </c>
      <c r="J569" s="47">
        <f t="shared" si="263"/>
        <v>15.756500000000001</v>
      </c>
      <c r="K569" s="52">
        <f t="shared" si="248"/>
        <v>563.55709999999988</v>
      </c>
      <c r="L569" s="52"/>
      <c r="M569" s="50"/>
      <c r="N569" s="51"/>
      <c r="O569" s="49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9"/>
    </row>
    <row r="570" spans="1:57" s="90" customFormat="1" x14ac:dyDescent="0.2">
      <c r="A570" s="701"/>
      <c r="B570" s="818"/>
      <c r="C570" s="701"/>
      <c r="D570" s="46">
        <v>2020</v>
      </c>
      <c r="E570" s="47">
        <f>E626+E636+E681+E688+E698+E702+E610+E607</f>
        <v>134.05719999999999</v>
      </c>
      <c r="F570" s="47">
        <f t="shared" ref="F570:J570" si="264">F626+F636+F681+F688+F698+F702+F610+F607</f>
        <v>2.4327999999999999</v>
      </c>
      <c r="G570" s="47">
        <f t="shared" si="264"/>
        <v>0</v>
      </c>
      <c r="H570" s="47">
        <f t="shared" si="264"/>
        <v>120.235</v>
      </c>
      <c r="I570" s="47">
        <f t="shared" si="264"/>
        <v>9.4374000000000002</v>
      </c>
      <c r="J570" s="47">
        <f t="shared" si="264"/>
        <v>1.952</v>
      </c>
      <c r="K570" s="52">
        <f t="shared" si="248"/>
        <v>134.05719999999999</v>
      </c>
      <c r="L570" s="52"/>
      <c r="M570" s="50"/>
      <c r="N570" s="51"/>
      <c r="O570" s="49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9"/>
    </row>
    <row r="571" spans="1:57" s="90" customFormat="1" x14ac:dyDescent="0.2">
      <c r="A571" s="701"/>
      <c r="B571" s="818"/>
      <c r="C571" s="701"/>
      <c r="D571" s="46">
        <v>2021</v>
      </c>
      <c r="E571" s="47">
        <f>E589+E627+E637+E689+E699+E682+E703</f>
        <v>36.982900000000001</v>
      </c>
      <c r="F571" s="47">
        <f t="shared" ref="F571:J571" si="265">F589+F627+F637+F689+F699+F682+F703</f>
        <v>0</v>
      </c>
      <c r="G571" s="47">
        <f t="shared" si="265"/>
        <v>0</v>
      </c>
      <c r="H571" s="47">
        <f t="shared" si="265"/>
        <v>8.15</v>
      </c>
      <c r="I571" s="47">
        <f t="shared" si="265"/>
        <v>28.030899999999999</v>
      </c>
      <c r="J571" s="47">
        <f t="shared" si="265"/>
        <v>0.80200000000000005</v>
      </c>
      <c r="K571" s="52">
        <f t="shared" si="248"/>
        <v>36.982900000000001</v>
      </c>
      <c r="L571" s="52"/>
      <c r="M571" s="50"/>
      <c r="N571" s="51"/>
      <c r="O571" s="49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9"/>
    </row>
    <row r="572" spans="1:57" s="90" customFormat="1" x14ac:dyDescent="0.2">
      <c r="A572" s="701"/>
      <c r="B572" s="818"/>
      <c r="C572" s="701"/>
      <c r="D572" s="46">
        <v>2022</v>
      </c>
      <c r="E572" s="47">
        <f>E593+E599+E638+E690+E628+E683+E704</f>
        <v>55.630499999999998</v>
      </c>
      <c r="F572" s="47">
        <f t="shared" ref="F572:J572" si="266">F593+F599+F638+F690+F628+F683+F704</f>
        <v>0</v>
      </c>
      <c r="G572" s="47">
        <f t="shared" si="266"/>
        <v>0</v>
      </c>
      <c r="H572" s="47">
        <f t="shared" si="266"/>
        <v>11.690999999999999</v>
      </c>
      <c r="I572" s="47">
        <f t="shared" si="266"/>
        <v>43.530499999999996</v>
      </c>
      <c r="J572" s="47">
        <f t="shared" si="266"/>
        <v>0.40900000000000003</v>
      </c>
      <c r="K572" s="52">
        <f t="shared" si="248"/>
        <v>55.630499999999991</v>
      </c>
      <c r="L572" s="52"/>
      <c r="M572" s="50"/>
      <c r="N572" s="51"/>
      <c r="O572" s="49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9"/>
    </row>
    <row r="573" spans="1:57" s="90" customFormat="1" x14ac:dyDescent="0.2">
      <c r="A573" s="701"/>
      <c r="B573" s="818"/>
      <c r="C573" s="701"/>
      <c r="D573" s="46">
        <v>2023</v>
      </c>
      <c r="E573" s="47">
        <f>E595+E597+E603+E639+E678+E691+E629+E684</f>
        <v>49.437899999999999</v>
      </c>
      <c r="F573" s="47">
        <f t="shared" ref="F573:J573" si="267">F595+F597+F603+F639+F678+F691+F629+F684</f>
        <v>0</v>
      </c>
      <c r="G573" s="47">
        <f t="shared" si="267"/>
        <v>0</v>
      </c>
      <c r="H573" s="47">
        <f t="shared" si="267"/>
        <v>14.420999999999999</v>
      </c>
      <c r="I573" s="47">
        <f t="shared" si="267"/>
        <v>34.5379</v>
      </c>
      <c r="J573" s="47">
        <f t="shared" si="267"/>
        <v>0.47900000000000004</v>
      </c>
      <c r="K573" s="52">
        <f t="shared" si="248"/>
        <v>49.437899999999999</v>
      </c>
      <c r="L573" s="52"/>
      <c r="M573" s="50"/>
      <c r="N573" s="51"/>
      <c r="O573" s="49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9"/>
    </row>
    <row r="574" spans="1:57" s="90" customFormat="1" x14ac:dyDescent="0.2">
      <c r="A574" s="701"/>
      <c r="B574" s="818"/>
      <c r="C574" s="701"/>
      <c r="D574" s="46">
        <v>2024</v>
      </c>
      <c r="E574" s="47">
        <f>E640+E692+E591+E630+E685</f>
        <v>80.347499999999997</v>
      </c>
      <c r="F574" s="47">
        <f t="shared" ref="F574:J574" si="268">F640+F692+F591+F630+F685</f>
        <v>0</v>
      </c>
      <c r="G574" s="47">
        <f t="shared" si="268"/>
        <v>0</v>
      </c>
      <c r="H574" s="47">
        <f t="shared" si="268"/>
        <v>44.872999999999998</v>
      </c>
      <c r="I574" s="47">
        <f t="shared" si="268"/>
        <v>35.196899999999999</v>
      </c>
      <c r="J574" s="47">
        <f t="shared" si="268"/>
        <v>0.27760000000000001</v>
      </c>
      <c r="K574" s="52">
        <f t="shared" si="248"/>
        <v>80.347499999999997</v>
      </c>
      <c r="L574" s="52"/>
      <c r="M574" s="50"/>
      <c r="N574" s="51"/>
      <c r="O574" s="49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9"/>
    </row>
    <row r="575" spans="1:57" s="90" customFormat="1" x14ac:dyDescent="0.2">
      <c r="A575" s="701"/>
      <c r="B575" s="818"/>
      <c r="C575" s="701"/>
      <c r="D575" s="46">
        <v>2025</v>
      </c>
      <c r="E575" s="47">
        <f>E601+E641+E631</f>
        <v>31.837900000000001</v>
      </c>
      <c r="F575" s="47">
        <f t="shared" ref="F575:J575" si="269">F601+F641+F631</f>
        <v>0</v>
      </c>
      <c r="G575" s="47">
        <f t="shared" si="269"/>
        <v>0</v>
      </c>
      <c r="H575" s="47">
        <f t="shared" si="269"/>
        <v>1.425</v>
      </c>
      <c r="I575" s="47">
        <f t="shared" si="269"/>
        <v>30.337900000000001</v>
      </c>
      <c r="J575" s="47">
        <f t="shared" si="269"/>
        <v>7.4999999999999997E-2</v>
      </c>
      <c r="K575" s="52">
        <f t="shared" si="248"/>
        <v>31.837900000000001</v>
      </c>
      <c r="L575" s="52"/>
      <c r="M575" s="50"/>
      <c r="N575" s="51"/>
      <c r="O575" s="49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9"/>
    </row>
    <row r="576" spans="1:57" s="90" customFormat="1" x14ac:dyDescent="0.2">
      <c r="A576" s="701"/>
      <c r="B576" s="818"/>
      <c r="C576" s="701"/>
      <c r="D576" s="46">
        <v>2026</v>
      </c>
      <c r="E576" s="47">
        <f>E582+E642+E632</f>
        <v>38.837899999999998</v>
      </c>
      <c r="F576" s="47">
        <f t="shared" ref="F576:J576" si="270">F582+F642+F632</f>
        <v>0.5</v>
      </c>
      <c r="G576" s="47">
        <f t="shared" si="270"/>
        <v>0</v>
      </c>
      <c r="H576" s="47">
        <f t="shared" si="270"/>
        <v>9.5</v>
      </c>
      <c r="I576" s="47">
        <f t="shared" si="270"/>
        <v>28.837900000000001</v>
      </c>
      <c r="J576" s="47">
        <f t="shared" si="270"/>
        <v>0</v>
      </c>
      <c r="K576" s="52">
        <f t="shared" si="248"/>
        <v>38.837900000000005</v>
      </c>
      <c r="L576" s="52"/>
      <c r="M576" s="50"/>
      <c r="N576" s="51"/>
      <c r="O576" s="49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9"/>
    </row>
    <row r="577" spans="1:57" s="90" customFormat="1" x14ac:dyDescent="0.2">
      <c r="A577" s="701"/>
      <c r="B577" s="818"/>
      <c r="C577" s="701"/>
      <c r="D577" s="46">
        <v>2027</v>
      </c>
      <c r="E577" s="47">
        <f>E583+E587+EH684+E633</f>
        <v>38</v>
      </c>
      <c r="F577" s="47">
        <f t="shared" ref="F577:J577" si="271">F583+F587+EI684+F633</f>
        <v>0.5</v>
      </c>
      <c r="G577" s="47">
        <f t="shared" si="271"/>
        <v>0</v>
      </c>
      <c r="H577" s="47">
        <f t="shared" si="271"/>
        <v>19</v>
      </c>
      <c r="I577" s="47">
        <f t="shared" si="271"/>
        <v>18</v>
      </c>
      <c r="J577" s="47">
        <f t="shared" si="271"/>
        <v>0.5</v>
      </c>
      <c r="K577" s="52">
        <f t="shared" si="248"/>
        <v>38</v>
      </c>
      <c r="L577" s="52"/>
      <c r="M577" s="50"/>
      <c r="N577" s="51"/>
      <c r="O577" s="62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9"/>
    </row>
    <row r="578" spans="1:57" s="90" customFormat="1" x14ac:dyDescent="0.2">
      <c r="A578" s="701"/>
      <c r="B578" s="818"/>
      <c r="C578" s="701"/>
      <c r="D578" s="46">
        <v>2028</v>
      </c>
      <c r="E578" s="47">
        <f>E584</f>
        <v>10</v>
      </c>
      <c r="F578" s="47">
        <f t="shared" ref="F578:J578" si="272">F584</f>
        <v>0.5</v>
      </c>
      <c r="G578" s="47">
        <f t="shared" si="272"/>
        <v>0</v>
      </c>
      <c r="H578" s="47">
        <f t="shared" si="272"/>
        <v>9.5</v>
      </c>
      <c r="I578" s="47">
        <f t="shared" si="272"/>
        <v>0</v>
      </c>
      <c r="J578" s="47">
        <f t="shared" si="272"/>
        <v>0</v>
      </c>
      <c r="K578" s="52">
        <f t="shared" si="248"/>
        <v>10</v>
      </c>
      <c r="L578" s="52"/>
      <c r="M578" s="50"/>
      <c r="N578" s="51"/>
      <c r="O578" s="62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9"/>
    </row>
    <row r="579" spans="1:57" s="90" customFormat="1" x14ac:dyDescent="0.2">
      <c r="A579" s="701"/>
      <c r="B579" s="818"/>
      <c r="C579" s="701"/>
      <c r="D579" s="46">
        <v>2029</v>
      </c>
      <c r="E579" s="47">
        <f>E585+E605</f>
        <v>14.3</v>
      </c>
      <c r="F579" s="47">
        <f t="shared" ref="F579:J579" si="273">F585+F605</f>
        <v>0.5</v>
      </c>
      <c r="G579" s="47">
        <f t="shared" si="273"/>
        <v>0</v>
      </c>
      <c r="H579" s="47">
        <f t="shared" si="273"/>
        <v>13.67</v>
      </c>
      <c r="I579" s="47">
        <f t="shared" si="273"/>
        <v>0</v>
      </c>
      <c r="J579" s="47">
        <f t="shared" si="273"/>
        <v>0.13</v>
      </c>
      <c r="K579" s="52">
        <f t="shared" si="248"/>
        <v>14.3</v>
      </c>
      <c r="L579" s="52"/>
      <c r="M579" s="50"/>
      <c r="N579" s="51"/>
      <c r="O579" s="62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9"/>
    </row>
    <row r="580" spans="1:57" s="90" customFormat="1" x14ac:dyDescent="0.2">
      <c r="A580" s="702"/>
      <c r="B580" s="819"/>
      <c r="C580" s="702"/>
      <c r="D580" s="46">
        <v>2030</v>
      </c>
      <c r="E580" s="47">
        <v>0</v>
      </c>
      <c r="F580" s="47">
        <f t="shared" ref="F580:I580" si="274">F607</f>
        <v>0</v>
      </c>
      <c r="G580" s="47">
        <f t="shared" si="274"/>
        <v>0</v>
      </c>
      <c r="H580" s="47">
        <v>0</v>
      </c>
      <c r="I580" s="47">
        <f t="shared" si="274"/>
        <v>0</v>
      </c>
      <c r="J580" s="47">
        <v>0</v>
      </c>
      <c r="K580" s="52">
        <f t="shared" si="248"/>
        <v>0</v>
      </c>
      <c r="L580" s="52"/>
      <c r="M580" s="50"/>
      <c r="N580" s="51"/>
      <c r="O580" s="62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9"/>
    </row>
    <row r="581" spans="1:57" s="48" customFormat="1" ht="12.75" customHeight="1" x14ac:dyDescent="0.2">
      <c r="A581" s="697" t="s">
        <v>294</v>
      </c>
      <c r="B581" s="631" t="s">
        <v>437</v>
      </c>
      <c r="C581" s="631" t="s">
        <v>438</v>
      </c>
      <c r="D581" s="46" t="s">
        <v>198</v>
      </c>
      <c r="E581" s="47">
        <f>E582+E583+E584+E585</f>
        <v>40</v>
      </c>
      <c r="F581" s="47">
        <f t="shared" ref="F581:J581" si="275">F582+F583+F584+F585</f>
        <v>2</v>
      </c>
      <c r="G581" s="47">
        <f t="shared" si="275"/>
        <v>0</v>
      </c>
      <c r="H581" s="47">
        <f t="shared" si="275"/>
        <v>38</v>
      </c>
      <c r="I581" s="47">
        <f t="shared" si="275"/>
        <v>0</v>
      </c>
      <c r="J581" s="47">
        <f t="shared" si="275"/>
        <v>0</v>
      </c>
      <c r="K581" s="52">
        <f t="shared" ref="K581:K644" si="276">F581+G581+H581+I581+J581</f>
        <v>40</v>
      </c>
      <c r="L581" s="52"/>
      <c r="M581" s="50"/>
      <c r="N581" s="56"/>
      <c r="O581" s="765" t="s">
        <v>852</v>
      </c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6"/>
    </row>
    <row r="582" spans="1:57" s="48" customFormat="1" ht="13.5" customHeight="1" x14ac:dyDescent="0.2">
      <c r="A582" s="698"/>
      <c r="B582" s="701"/>
      <c r="C582" s="701"/>
      <c r="D582" s="470">
        <v>2026</v>
      </c>
      <c r="E582" s="567">
        <f>F582+G582+H582+I582+J582</f>
        <v>10</v>
      </c>
      <c r="F582" s="567">
        <v>0.5</v>
      </c>
      <c r="G582" s="567">
        <v>0</v>
      </c>
      <c r="H582" s="567">
        <v>9.5</v>
      </c>
      <c r="I582" s="567">
        <v>0</v>
      </c>
      <c r="J582" s="567">
        <v>0</v>
      </c>
      <c r="K582" s="52">
        <f t="shared" si="276"/>
        <v>10</v>
      </c>
      <c r="L582" s="53" t="s">
        <v>571</v>
      </c>
      <c r="M582" s="50"/>
      <c r="N582" s="56"/>
      <c r="O582" s="766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6"/>
    </row>
    <row r="583" spans="1:57" s="48" customFormat="1" ht="16.5" customHeight="1" x14ac:dyDescent="0.2">
      <c r="A583" s="698"/>
      <c r="B583" s="701"/>
      <c r="C583" s="701"/>
      <c r="D583" s="470">
        <v>2027</v>
      </c>
      <c r="E583" s="567">
        <f t="shared" ref="E583:E585" si="277">F583+G583+H583+I583+J583</f>
        <v>10</v>
      </c>
      <c r="F583" s="567">
        <v>0.5</v>
      </c>
      <c r="G583" s="567">
        <v>0</v>
      </c>
      <c r="H583" s="567">
        <v>9.5</v>
      </c>
      <c r="I583" s="567">
        <v>0</v>
      </c>
      <c r="J583" s="567">
        <v>0</v>
      </c>
      <c r="K583" s="52">
        <f t="shared" si="276"/>
        <v>10</v>
      </c>
      <c r="L583" s="53" t="s">
        <v>571</v>
      </c>
      <c r="M583" s="50"/>
      <c r="N583" s="56"/>
      <c r="O583" s="72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6"/>
    </row>
    <row r="584" spans="1:57" s="48" customFormat="1" ht="14.25" customHeight="1" x14ac:dyDescent="0.2">
      <c r="A584" s="698"/>
      <c r="B584" s="701"/>
      <c r="C584" s="701"/>
      <c r="D584" s="470">
        <v>2028</v>
      </c>
      <c r="E584" s="567">
        <f t="shared" si="277"/>
        <v>10</v>
      </c>
      <c r="F584" s="567">
        <v>0.5</v>
      </c>
      <c r="G584" s="567">
        <v>0</v>
      </c>
      <c r="H584" s="567">
        <v>9.5</v>
      </c>
      <c r="I584" s="567">
        <v>0</v>
      </c>
      <c r="J584" s="567">
        <v>0</v>
      </c>
      <c r="K584" s="52">
        <f t="shared" si="276"/>
        <v>10</v>
      </c>
      <c r="L584" s="53" t="s">
        <v>571</v>
      </c>
      <c r="M584" s="50"/>
      <c r="N584" s="56"/>
      <c r="O584" s="72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6"/>
    </row>
    <row r="585" spans="1:57" s="48" customFormat="1" ht="21" customHeight="1" x14ac:dyDescent="0.2">
      <c r="A585" s="792"/>
      <c r="B585" s="702"/>
      <c r="C585" s="702"/>
      <c r="D585" s="470">
        <v>2029</v>
      </c>
      <c r="E585" s="567">
        <f t="shared" si="277"/>
        <v>10</v>
      </c>
      <c r="F585" s="567">
        <v>0.5</v>
      </c>
      <c r="G585" s="567">
        <v>0</v>
      </c>
      <c r="H585" s="567">
        <v>9.5</v>
      </c>
      <c r="I585" s="567">
        <v>0</v>
      </c>
      <c r="J585" s="567">
        <v>0</v>
      </c>
      <c r="K585" s="52">
        <f t="shared" si="276"/>
        <v>10</v>
      </c>
      <c r="L585" s="53" t="s">
        <v>571</v>
      </c>
      <c r="M585" s="50"/>
      <c r="N585" s="56"/>
      <c r="O585" s="726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6"/>
    </row>
    <row r="586" spans="1:57" s="48" customFormat="1" x14ac:dyDescent="0.2">
      <c r="A586" s="697" t="s">
        <v>1004</v>
      </c>
      <c r="B586" s="631" t="s">
        <v>439</v>
      </c>
      <c r="C586" s="678" t="s">
        <v>438</v>
      </c>
      <c r="D586" s="46" t="s">
        <v>198</v>
      </c>
      <c r="E586" s="47">
        <f>E587</f>
        <v>10</v>
      </c>
      <c r="F586" s="47">
        <f t="shared" ref="F586:J586" si="278">F587</f>
        <v>0</v>
      </c>
      <c r="G586" s="47">
        <f t="shared" si="278"/>
        <v>0</v>
      </c>
      <c r="H586" s="47">
        <f t="shared" si="278"/>
        <v>9.5</v>
      </c>
      <c r="I586" s="47">
        <f t="shared" si="278"/>
        <v>0</v>
      </c>
      <c r="J586" s="47">
        <f t="shared" si="278"/>
        <v>0.5</v>
      </c>
      <c r="K586" s="52">
        <f t="shared" si="276"/>
        <v>10</v>
      </c>
      <c r="L586" s="797" t="s">
        <v>568</v>
      </c>
      <c r="M586" s="812"/>
      <c r="N586" s="814"/>
      <c r="O586" s="746" t="s">
        <v>440</v>
      </c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6"/>
    </row>
    <row r="587" spans="1:57" s="48" customFormat="1" ht="27" customHeight="1" x14ac:dyDescent="0.2">
      <c r="A587" s="699"/>
      <c r="B587" s="702"/>
      <c r="C587" s="817"/>
      <c r="D587" s="470">
        <v>2027</v>
      </c>
      <c r="E587" s="567">
        <f>F587+G587+H587+I587+J587</f>
        <v>10</v>
      </c>
      <c r="F587" s="567">
        <v>0</v>
      </c>
      <c r="G587" s="567">
        <v>0</v>
      </c>
      <c r="H587" s="567">
        <v>9.5</v>
      </c>
      <c r="I587" s="567">
        <v>0</v>
      </c>
      <c r="J587" s="567">
        <v>0.5</v>
      </c>
      <c r="K587" s="52">
        <f t="shared" si="276"/>
        <v>10</v>
      </c>
      <c r="L587" s="637"/>
      <c r="M587" s="813"/>
      <c r="N587" s="815"/>
      <c r="O587" s="748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6"/>
    </row>
    <row r="588" spans="1:57" s="48" customFormat="1" x14ac:dyDescent="0.2">
      <c r="A588" s="697" t="s">
        <v>1005</v>
      </c>
      <c r="B588" s="631" t="s">
        <v>441</v>
      </c>
      <c r="C588" s="631" t="s">
        <v>393</v>
      </c>
      <c r="D588" s="46" t="s">
        <v>198</v>
      </c>
      <c r="E588" s="47">
        <f>E589</f>
        <v>3.5</v>
      </c>
      <c r="F588" s="47">
        <f t="shared" ref="F588:J588" si="279">F589</f>
        <v>0</v>
      </c>
      <c r="G588" s="47">
        <f t="shared" si="279"/>
        <v>0</v>
      </c>
      <c r="H588" s="47">
        <f t="shared" si="279"/>
        <v>3.4</v>
      </c>
      <c r="I588" s="47">
        <f t="shared" si="279"/>
        <v>0</v>
      </c>
      <c r="J588" s="47">
        <f t="shared" si="279"/>
        <v>0.1</v>
      </c>
      <c r="K588" s="52">
        <f t="shared" si="276"/>
        <v>3.5</v>
      </c>
      <c r="L588" s="695" t="s">
        <v>569</v>
      </c>
      <c r="M588" s="812"/>
      <c r="N588" s="814"/>
      <c r="O588" s="746" t="s">
        <v>234</v>
      </c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6"/>
    </row>
    <row r="589" spans="1:57" s="48" customFormat="1" ht="42.75" customHeight="1" x14ac:dyDescent="0.2">
      <c r="A589" s="699"/>
      <c r="B589" s="702"/>
      <c r="C589" s="702"/>
      <c r="D589" s="470">
        <v>2021</v>
      </c>
      <c r="E589" s="567">
        <f>F589+G589+H589+I589+J589</f>
        <v>3.5</v>
      </c>
      <c r="F589" s="567">
        <v>0</v>
      </c>
      <c r="G589" s="567">
        <v>0</v>
      </c>
      <c r="H589" s="567">
        <v>3.4</v>
      </c>
      <c r="I589" s="567">
        <v>0</v>
      </c>
      <c r="J589" s="567">
        <v>0.1</v>
      </c>
      <c r="K589" s="52">
        <f t="shared" si="276"/>
        <v>3.5</v>
      </c>
      <c r="L589" s="672"/>
      <c r="M589" s="813"/>
      <c r="N589" s="815"/>
      <c r="O589" s="748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6"/>
    </row>
    <row r="590" spans="1:57" s="48" customFormat="1" ht="27.75" customHeight="1" x14ac:dyDescent="0.2">
      <c r="A590" s="697" t="s">
        <v>1006</v>
      </c>
      <c r="B590" s="631" t="s">
        <v>442</v>
      </c>
      <c r="C590" s="631" t="s">
        <v>393</v>
      </c>
      <c r="D590" s="46" t="s">
        <v>198</v>
      </c>
      <c r="E590" s="47">
        <f>E591</f>
        <v>2.9</v>
      </c>
      <c r="F590" s="47">
        <f t="shared" ref="F590:J590" si="280">F591</f>
        <v>0</v>
      </c>
      <c r="G590" s="47">
        <f t="shared" si="280"/>
        <v>0</v>
      </c>
      <c r="H590" s="47">
        <f t="shared" si="280"/>
        <v>2.82</v>
      </c>
      <c r="I590" s="47">
        <f t="shared" si="280"/>
        <v>0</v>
      </c>
      <c r="J590" s="47">
        <f t="shared" si="280"/>
        <v>0.08</v>
      </c>
      <c r="K590" s="52">
        <f t="shared" si="276"/>
        <v>2.9</v>
      </c>
      <c r="L590" s="797" t="s">
        <v>474</v>
      </c>
      <c r="M590" s="812"/>
      <c r="N590" s="814"/>
      <c r="O590" s="765" t="s">
        <v>409</v>
      </c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6"/>
    </row>
    <row r="591" spans="1:57" s="48" customFormat="1" ht="21.75" customHeight="1" x14ac:dyDescent="0.2">
      <c r="A591" s="699"/>
      <c r="B591" s="702"/>
      <c r="C591" s="702"/>
      <c r="D591" s="470">
        <v>2024</v>
      </c>
      <c r="E591" s="567">
        <f>F591+H591+G591+I591+J591</f>
        <v>2.9</v>
      </c>
      <c r="F591" s="567">
        <v>0</v>
      </c>
      <c r="G591" s="567">
        <v>0</v>
      </c>
      <c r="H591" s="567">
        <v>2.82</v>
      </c>
      <c r="I591" s="567">
        <v>0</v>
      </c>
      <c r="J591" s="567">
        <v>0.08</v>
      </c>
      <c r="K591" s="52">
        <f t="shared" si="276"/>
        <v>2.9</v>
      </c>
      <c r="L591" s="805"/>
      <c r="M591" s="813"/>
      <c r="N591" s="815"/>
      <c r="O591" s="816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6"/>
    </row>
    <row r="592" spans="1:57" s="48" customFormat="1" ht="27.75" customHeight="1" x14ac:dyDescent="0.2">
      <c r="A592" s="697" t="s">
        <v>672</v>
      </c>
      <c r="B592" s="631" t="s">
        <v>443</v>
      </c>
      <c r="C592" s="631" t="s">
        <v>393</v>
      </c>
      <c r="D592" s="46" t="s">
        <v>198</v>
      </c>
      <c r="E592" s="47">
        <f>E593</f>
        <v>4.8</v>
      </c>
      <c r="F592" s="47">
        <f t="shared" ref="F592:J592" si="281">F593</f>
        <v>0</v>
      </c>
      <c r="G592" s="47">
        <f t="shared" si="281"/>
        <v>0</v>
      </c>
      <c r="H592" s="47">
        <f t="shared" si="281"/>
        <v>4.66</v>
      </c>
      <c r="I592" s="47">
        <f t="shared" si="281"/>
        <v>0</v>
      </c>
      <c r="J592" s="47">
        <f t="shared" si="281"/>
        <v>0.14000000000000001</v>
      </c>
      <c r="K592" s="52">
        <f t="shared" si="276"/>
        <v>4.8</v>
      </c>
      <c r="L592" s="797" t="s">
        <v>475</v>
      </c>
      <c r="M592" s="812"/>
      <c r="N592" s="814"/>
      <c r="O592" s="746" t="s">
        <v>444</v>
      </c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6"/>
    </row>
    <row r="593" spans="1:57" s="48" customFormat="1" ht="30" customHeight="1" x14ac:dyDescent="0.2">
      <c r="A593" s="699"/>
      <c r="B593" s="702"/>
      <c r="C593" s="702"/>
      <c r="D593" s="470">
        <v>2022</v>
      </c>
      <c r="E593" s="567">
        <f>F593+G593+H593+I593+J593</f>
        <v>4.8</v>
      </c>
      <c r="F593" s="567">
        <v>0</v>
      </c>
      <c r="G593" s="567">
        <v>0</v>
      </c>
      <c r="H593" s="567">
        <v>4.66</v>
      </c>
      <c r="I593" s="567">
        <v>0</v>
      </c>
      <c r="J593" s="567">
        <v>0.14000000000000001</v>
      </c>
      <c r="K593" s="52">
        <f t="shared" si="276"/>
        <v>4.8</v>
      </c>
      <c r="L593" s="805"/>
      <c r="M593" s="813"/>
      <c r="N593" s="815"/>
      <c r="O593" s="748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6"/>
    </row>
    <row r="594" spans="1:57" s="48" customFormat="1" ht="20.25" customHeight="1" x14ac:dyDescent="0.2">
      <c r="A594" s="697" t="s">
        <v>673</v>
      </c>
      <c r="B594" s="631" t="s">
        <v>445</v>
      </c>
      <c r="C594" s="631" t="s">
        <v>393</v>
      </c>
      <c r="D594" s="46" t="s">
        <v>198</v>
      </c>
      <c r="E594" s="560">
        <f t="shared" ref="E594:J604" si="282">E595</f>
        <v>4.3</v>
      </c>
      <c r="F594" s="560">
        <f t="shared" si="282"/>
        <v>0</v>
      </c>
      <c r="G594" s="560">
        <f t="shared" si="282"/>
        <v>0</v>
      </c>
      <c r="H594" s="560">
        <f t="shared" si="282"/>
        <v>4.17</v>
      </c>
      <c r="I594" s="560">
        <f t="shared" si="282"/>
        <v>0</v>
      </c>
      <c r="J594" s="560">
        <f t="shared" si="282"/>
        <v>0.13</v>
      </c>
      <c r="K594" s="52">
        <f t="shared" si="276"/>
        <v>4.3</v>
      </c>
      <c r="L594" s="797" t="s">
        <v>476</v>
      </c>
      <c r="M594" s="812"/>
      <c r="N594" s="802"/>
      <c r="O594" s="746" t="s">
        <v>446</v>
      </c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6"/>
    </row>
    <row r="595" spans="1:57" s="48" customFormat="1" ht="35.25" customHeight="1" x14ac:dyDescent="0.2">
      <c r="A595" s="792"/>
      <c r="B595" s="702"/>
      <c r="C595" s="702"/>
      <c r="D595" s="470">
        <v>2023</v>
      </c>
      <c r="E595" s="567">
        <f>F595+G595+H595+I595+J595</f>
        <v>4.3</v>
      </c>
      <c r="F595" s="567">
        <v>0</v>
      </c>
      <c r="G595" s="567">
        <v>0</v>
      </c>
      <c r="H595" s="567">
        <v>4.17</v>
      </c>
      <c r="I595" s="567">
        <v>0</v>
      </c>
      <c r="J595" s="567">
        <v>0.13</v>
      </c>
      <c r="K595" s="52">
        <f t="shared" si="276"/>
        <v>4.3</v>
      </c>
      <c r="L595" s="805"/>
      <c r="M595" s="813"/>
      <c r="N595" s="803"/>
      <c r="O595" s="748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6"/>
    </row>
    <row r="596" spans="1:57" s="48" customFormat="1" ht="36.75" customHeight="1" x14ac:dyDescent="0.2">
      <c r="A596" s="697" t="s">
        <v>674</v>
      </c>
      <c r="B596" s="631" t="s">
        <v>547</v>
      </c>
      <c r="C596" s="631" t="s">
        <v>393</v>
      </c>
      <c r="D596" s="46" t="s">
        <v>198</v>
      </c>
      <c r="E596" s="58">
        <f t="shared" si="282"/>
        <v>4.3</v>
      </c>
      <c r="F596" s="58">
        <f t="shared" si="282"/>
        <v>0</v>
      </c>
      <c r="G596" s="58">
        <f t="shared" si="282"/>
        <v>0</v>
      </c>
      <c r="H596" s="58">
        <f t="shared" si="282"/>
        <v>4.17</v>
      </c>
      <c r="I596" s="58">
        <f t="shared" si="282"/>
        <v>0</v>
      </c>
      <c r="J596" s="58">
        <f t="shared" si="282"/>
        <v>0.13</v>
      </c>
      <c r="K596" s="52">
        <f t="shared" si="276"/>
        <v>4.3</v>
      </c>
      <c r="L596" s="811" t="s">
        <v>476</v>
      </c>
      <c r="M596" s="560"/>
      <c r="N596" s="64"/>
      <c r="O596" s="746" t="s">
        <v>574</v>
      </c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6"/>
    </row>
    <row r="597" spans="1:57" s="48" customFormat="1" ht="21" customHeight="1" x14ac:dyDescent="0.2">
      <c r="A597" s="792"/>
      <c r="B597" s="702"/>
      <c r="C597" s="702"/>
      <c r="D597" s="46">
        <v>2023</v>
      </c>
      <c r="E597" s="567">
        <f>F597+G597+H597+I597+J597</f>
        <v>4.3</v>
      </c>
      <c r="F597" s="567">
        <v>0</v>
      </c>
      <c r="G597" s="567">
        <v>0</v>
      </c>
      <c r="H597" s="567">
        <v>4.17</v>
      </c>
      <c r="I597" s="567">
        <v>0</v>
      </c>
      <c r="J597" s="567">
        <v>0.13</v>
      </c>
      <c r="K597" s="52">
        <f t="shared" si="276"/>
        <v>4.3</v>
      </c>
      <c r="L597" s="811"/>
      <c r="M597" s="560"/>
      <c r="N597" s="64"/>
      <c r="O597" s="748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6"/>
    </row>
    <row r="598" spans="1:57" s="48" customFormat="1" ht="24.75" customHeight="1" x14ac:dyDescent="0.2">
      <c r="A598" s="697" t="s">
        <v>675</v>
      </c>
      <c r="B598" s="631" t="s">
        <v>548</v>
      </c>
      <c r="C598" s="631" t="s">
        <v>393</v>
      </c>
      <c r="D598" s="46" t="s">
        <v>198</v>
      </c>
      <c r="E598" s="560">
        <f t="shared" si="282"/>
        <v>4.8</v>
      </c>
      <c r="F598" s="560">
        <f t="shared" si="282"/>
        <v>0</v>
      </c>
      <c r="G598" s="560">
        <f t="shared" si="282"/>
        <v>0</v>
      </c>
      <c r="H598" s="560">
        <f t="shared" si="282"/>
        <v>4.6559999999999997</v>
      </c>
      <c r="I598" s="560">
        <f t="shared" si="282"/>
        <v>0</v>
      </c>
      <c r="J598" s="560">
        <f t="shared" si="282"/>
        <v>0.14399999999999999</v>
      </c>
      <c r="K598" s="52">
        <f t="shared" si="276"/>
        <v>4.8</v>
      </c>
      <c r="L598" s="811" t="s">
        <v>476</v>
      </c>
      <c r="M598" s="560"/>
      <c r="N598" s="64"/>
      <c r="O598" s="746" t="s">
        <v>575</v>
      </c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6"/>
    </row>
    <row r="599" spans="1:57" s="48" customFormat="1" ht="35.25" customHeight="1" x14ac:dyDescent="0.2">
      <c r="A599" s="792"/>
      <c r="B599" s="702"/>
      <c r="C599" s="702"/>
      <c r="D599" s="470">
        <v>2022</v>
      </c>
      <c r="E599" s="567">
        <f>F599+G599+H599+I599+J599</f>
        <v>4.8</v>
      </c>
      <c r="F599" s="567">
        <v>0</v>
      </c>
      <c r="G599" s="567">
        <v>0</v>
      </c>
      <c r="H599" s="567">
        <v>4.6559999999999997</v>
      </c>
      <c r="I599" s="567">
        <v>0</v>
      </c>
      <c r="J599" s="567">
        <v>0.14399999999999999</v>
      </c>
      <c r="K599" s="52">
        <f t="shared" si="276"/>
        <v>4.8</v>
      </c>
      <c r="L599" s="811"/>
      <c r="M599" s="560"/>
      <c r="N599" s="64"/>
      <c r="O599" s="748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6"/>
    </row>
    <row r="600" spans="1:57" s="48" customFormat="1" ht="23.25" customHeight="1" x14ac:dyDescent="0.2">
      <c r="A600" s="697" t="s">
        <v>843</v>
      </c>
      <c r="B600" s="631" t="s">
        <v>596</v>
      </c>
      <c r="C600" s="631" t="s">
        <v>393</v>
      </c>
      <c r="D600" s="46" t="s">
        <v>198</v>
      </c>
      <c r="E600" s="560">
        <f t="shared" si="282"/>
        <v>1.5</v>
      </c>
      <c r="F600" s="560">
        <f t="shared" si="282"/>
        <v>0</v>
      </c>
      <c r="G600" s="560">
        <f t="shared" si="282"/>
        <v>0</v>
      </c>
      <c r="H600" s="560">
        <f t="shared" si="282"/>
        <v>1.425</v>
      </c>
      <c r="I600" s="560">
        <f t="shared" si="282"/>
        <v>0</v>
      </c>
      <c r="J600" s="560">
        <f t="shared" si="282"/>
        <v>7.4999999999999997E-2</v>
      </c>
      <c r="K600" s="52">
        <f t="shared" si="276"/>
        <v>1.5</v>
      </c>
      <c r="L600" s="811" t="s">
        <v>476</v>
      </c>
      <c r="M600" s="560"/>
      <c r="N600" s="64"/>
      <c r="O600" s="746" t="s">
        <v>577</v>
      </c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6"/>
    </row>
    <row r="601" spans="1:57" s="48" customFormat="1" ht="34.5" customHeight="1" x14ac:dyDescent="0.2">
      <c r="A601" s="792"/>
      <c r="B601" s="702"/>
      <c r="C601" s="702"/>
      <c r="D601" s="470">
        <v>2025</v>
      </c>
      <c r="E601" s="567">
        <f>F601+G601+H601+I601+J601</f>
        <v>1.5</v>
      </c>
      <c r="F601" s="567">
        <v>0</v>
      </c>
      <c r="G601" s="567">
        <v>0</v>
      </c>
      <c r="H601" s="567">
        <v>1.425</v>
      </c>
      <c r="I601" s="567">
        <v>0</v>
      </c>
      <c r="J601" s="567">
        <v>7.4999999999999997E-2</v>
      </c>
      <c r="K601" s="52">
        <f t="shared" si="276"/>
        <v>1.5</v>
      </c>
      <c r="L601" s="811"/>
      <c r="M601" s="560"/>
      <c r="N601" s="64"/>
      <c r="O601" s="748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6"/>
    </row>
    <row r="602" spans="1:57" s="48" customFormat="1" ht="21.75" customHeight="1" x14ac:dyDescent="0.2">
      <c r="A602" s="697" t="s">
        <v>844</v>
      </c>
      <c r="B602" s="631" t="s">
        <v>549</v>
      </c>
      <c r="C602" s="631" t="s">
        <v>393</v>
      </c>
      <c r="D602" s="46" t="s">
        <v>198</v>
      </c>
      <c r="E602" s="560">
        <f t="shared" si="282"/>
        <v>4.8</v>
      </c>
      <c r="F602" s="560">
        <f t="shared" si="282"/>
        <v>0</v>
      </c>
      <c r="G602" s="560">
        <f t="shared" si="282"/>
        <v>0</v>
      </c>
      <c r="H602" s="560">
        <f t="shared" si="282"/>
        <v>4.6559999999999997</v>
      </c>
      <c r="I602" s="560">
        <f t="shared" si="282"/>
        <v>0</v>
      </c>
      <c r="J602" s="560">
        <f t="shared" si="282"/>
        <v>0.14399999999999999</v>
      </c>
      <c r="K602" s="52">
        <f t="shared" si="276"/>
        <v>4.8</v>
      </c>
      <c r="L602" s="811" t="s">
        <v>475</v>
      </c>
      <c r="M602" s="560"/>
      <c r="N602" s="64"/>
      <c r="O602" s="746" t="s">
        <v>576</v>
      </c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6"/>
    </row>
    <row r="603" spans="1:57" s="48" customFormat="1" ht="32.25" customHeight="1" x14ac:dyDescent="0.2">
      <c r="A603" s="792"/>
      <c r="B603" s="702"/>
      <c r="C603" s="702"/>
      <c r="D603" s="470">
        <v>2023</v>
      </c>
      <c r="E603" s="567">
        <f>F603+G603+H603+I603+J603</f>
        <v>4.8</v>
      </c>
      <c r="F603" s="567">
        <v>0</v>
      </c>
      <c r="G603" s="567">
        <v>0</v>
      </c>
      <c r="H603" s="567">
        <v>4.6559999999999997</v>
      </c>
      <c r="I603" s="567">
        <v>0</v>
      </c>
      <c r="J603" s="567">
        <v>0.14399999999999999</v>
      </c>
      <c r="K603" s="52">
        <f t="shared" si="276"/>
        <v>4.8</v>
      </c>
      <c r="L603" s="811"/>
      <c r="M603" s="560"/>
      <c r="N603" s="64"/>
      <c r="O603" s="748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6"/>
    </row>
    <row r="604" spans="1:57" s="48" customFormat="1" x14ac:dyDescent="0.2">
      <c r="A604" s="697" t="s">
        <v>845</v>
      </c>
      <c r="B604" s="631" t="s">
        <v>550</v>
      </c>
      <c r="C604" s="631" t="s">
        <v>393</v>
      </c>
      <c r="D604" s="46" t="s">
        <v>198</v>
      </c>
      <c r="E604" s="560">
        <f t="shared" si="282"/>
        <v>4.3</v>
      </c>
      <c r="F604" s="560">
        <f t="shared" si="282"/>
        <v>0</v>
      </c>
      <c r="G604" s="560">
        <f t="shared" si="282"/>
        <v>0</v>
      </c>
      <c r="H604" s="560">
        <f t="shared" si="282"/>
        <v>4.17</v>
      </c>
      <c r="I604" s="560">
        <f t="shared" si="282"/>
        <v>0</v>
      </c>
      <c r="J604" s="560">
        <f t="shared" si="282"/>
        <v>0.13</v>
      </c>
      <c r="K604" s="52">
        <f t="shared" si="276"/>
        <v>4.3</v>
      </c>
      <c r="L604" s="804" t="s">
        <v>475</v>
      </c>
      <c r="M604" s="560"/>
      <c r="N604" s="64"/>
      <c r="O604" s="746" t="s">
        <v>235</v>
      </c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6"/>
    </row>
    <row r="605" spans="1:57" s="48" customFormat="1" ht="39.75" customHeight="1" x14ac:dyDescent="0.2">
      <c r="A605" s="792"/>
      <c r="B605" s="702"/>
      <c r="C605" s="702"/>
      <c r="D605" s="470">
        <v>2029</v>
      </c>
      <c r="E605" s="567">
        <f>F605+G605+H605+I605+J605</f>
        <v>4.3</v>
      </c>
      <c r="F605" s="567">
        <v>0</v>
      </c>
      <c r="G605" s="567">
        <v>0</v>
      </c>
      <c r="H605" s="567">
        <v>4.17</v>
      </c>
      <c r="I605" s="567">
        <v>0</v>
      </c>
      <c r="J605" s="567">
        <v>0.13</v>
      </c>
      <c r="K605" s="52">
        <f t="shared" si="276"/>
        <v>4.3</v>
      </c>
      <c r="L605" s="805"/>
      <c r="M605" s="560"/>
      <c r="N605" s="64"/>
      <c r="O605" s="748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6"/>
    </row>
    <row r="606" spans="1:57" s="48" customFormat="1" ht="12.75" customHeight="1" x14ac:dyDescent="0.2">
      <c r="A606" s="697" t="s">
        <v>846</v>
      </c>
      <c r="B606" s="631" t="s">
        <v>551</v>
      </c>
      <c r="C606" s="739" t="s">
        <v>398</v>
      </c>
      <c r="D606" s="46" t="s">
        <v>198</v>
      </c>
      <c r="E606" s="560">
        <f t="shared" ref="E606:J606" si="283">E607</f>
        <v>100</v>
      </c>
      <c r="F606" s="560">
        <f t="shared" si="283"/>
        <v>0</v>
      </c>
      <c r="G606" s="560">
        <f t="shared" si="283"/>
        <v>0</v>
      </c>
      <c r="H606" s="560">
        <f t="shared" si="283"/>
        <v>99</v>
      </c>
      <c r="I606" s="560">
        <f t="shared" si="283"/>
        <v>0</v>
      </c>
      <c r="J606" s="560">
        <f t="shared" si="283"/>
        <v>1</v>
      </c>
      <c r="K606" s="52">
        <f t="shared" si="276"/>
        <v>100</v>
      </c>
      <c r="L606" s="797" t="s">
        <v>570</v>
      </c>
      <c r="M606" s="808"/>
      <c r="N606" s="802"/>
      <c r="O606" s="746" t="s">
        <v>572</v>
      </c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6"/>
    </row>
    <row r="607" spans="1:57" s="48" customFormat="1" ht="31.5" customHeight="1" x14ac:dyDescent="0.2">
      <c r="A607" s="699"/>
      <c r="B607" s="632"/>
      <c r="C607" s="741"/>
      <c r="D607" s="470">
        <v>2020</v>
      </c>
      <c r="E607" s="567">
        <f>F607+G607+H607+I607+J607</f>
        <v>100</v>
      </c>
      <c r="F607" s="567">
        <v>0</v>
      </c>
      <c r="G607" s="567">
        <v>0</v>
      </c>
      <c r="H607" s="567">
        <v>99</v>
      </c>
      <c r="I607" s="567">
        <v>0</v>
      </c>
      <c r="J607" s="567">
        <v>1</v>
      </c>
      <c r="K607" s="52">
        <f t="shared" si="276"/>
        <v>100</v>
      </c>
      <c r="L607" s="799"/>
      <c r="M607" s="809"/>
      <c r="N607" s="803"/>
      <c r="O607" s="748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6"/>
    </row>
    <row r="608" spans="1:57" s="48" customFormat="1" ht="19.5" customHeight="1" x14ac:dyDescent="0.2">
      <c r="A608" s="697" t="s">
        <v>847</v>
      </c>
      <c r="B608" s="631" t="s">
        <v>819</v>
      </c>
      <c r="C608" s="705" t="s">
        <v>539</v>
      </c>
      <c r="D608" s="46" t="s">
        <v>198</v>
      </c>
      <c r="E608" s="47">
        <f>E609+E610</f>
        <v>44.984699999999997</v>
      </c>
      <c r="F608" s="47">
        <f t="shared" ref="F608:J608" si="284">F609+F610</f>
        <v>5.7218</v>
      </c>
      <c r="G608" s="47">
        <f t="shared" si="284"/>
        <v>0</v>
      </c>
      <c r="H608" s="47">
        <f t="shared" si="284"/>
        <v>39.262899999999995</v>
      </c>
      <c r="I608" s="47">
        <f t="shared" si="284"/>
        <v>0</v>
      </c>
      <c r="J608" s="47">
        <f t="shared" si="284"/>
        <v>0</v>
      </c>
      <c r="K608" s="52">
        <f t="shared" si="276"/>
        <v>44.984699999999997</v>
      </c>
      <c r="L608" s="238"/>
      <c r="M608" s="281"/>
      <c r="N608" s="63"/>
      <c r="O608" s="769" t="s">
        <v>599</v>
      </c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6"/>
    </row>
    <row r="609" spans="1:57" s="48" customFormat="1" ht="45.75" customHeight="1" x14ac:dyDescent="0.2">
      <c r="A609" s="698"/>
      <c r="B609" s="648"/>
      <c r="C609" s="735"/>
      <c r="D609" s="46">
        <v>2019</v>
      </c>
      <c r="E609" s="47">
        <f>E611+E612+E613+E614+E615+E616+E617+E618+E619+E620</f>
        <v>26.270899999999997</v>
      </c>
      <c r="F609" s="47">
        <f>F611+F612+F613+F614+F615+F616+F617+F618+F619+F620</f>
        <v>3.2890000000000001</v>
      </c>
      <c r="G609" s="47">
        <f t="shared" ref="G609:J609" si="285">G611+G612+G613+G614+G615+G616+G617+G618+G619+G620</f>
        <v>0</v>
      </c>
      <c r="H609" s="47">
        <f t="shared" si="285"/>
        <v>22.981899999999996</v>
      </c>
      <c r="I609" s="47">
        <f t="shared" si="285"/>
        <v>0</v>
      </c>
      <c r="J609" s="47">
        <f t="shared" si="285"/>
        <v>0</v>
      </c>
      <c r="K609" s="52">
        <f t="shared" si="276"/>
        <v>26.270899999999997</v>
      </c>
      <c r="L609" s="81"/>
      <c r="M609" s="581"/>
      <c r="N609" s="63"/>
      <c r="O609" s="784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6"/>
    </row>
    <row r="610" spans="1:57" s="48" customFormat="1" ht="21.75" customHeight="1" x14ac:dyDescent="0.2">
      <c r="A610" s="496"/>
      <c r="B610" s="478"/>
      <c r="C610" s="735"/>
      <c r="D610" s="46">
        <v>2020</v>
      </c>
      <c r="E610" s="47">
        <f>E621+E622+E623</f>
        <v>18.713799999999999</v>
      </c>
      <c r="F610" s="47">
        <f>F621+F622+F623</f>
        <v>2.4327999999999999</v>
      </c>
      <c r="G610" s="47">
        <f t="shared" ref="G610:J610" si="286">G621+G622+G623</f>
        <v>0</v>
      </c>
      <c r="H610" s="47">
        <f t="shared" si="286"/>
        <v>16.280999999999999</v>
      </c>
      <c r="I610" s="47">
        <f t="shared" si="286"/>
        <v>0</v>
      </c>
      <c r="J610" s="47">
        <f t="shared" si="286"/>
        <v>0</v>
      </c>
      <c r="K610" s="52">
        <f t="shared" si="276"/>
        <v>18.713799999999999</v>
      </c>
      <c r="L610" s="238"/>
      <c r="M610" s="281"/>
      <c r="N610" s="63"/>
      <c r="O610" s="784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6"/>
    </row>
    <row r="611" spans="1:57" s="48" customFormat="1" ht="110.25" customHeight="1" x14ac:dyDescent="0.2">
      <c r="A611" s="484" t="s">
        <v>1007</v>
      </c>
      <c r="B611" s="490" t="s">
        <v>820</v>
      </c>
      <c r="C611" s="735"/>
      <c r="D611" s="470">
        <v>2019</v>
      </c>
      <c r="E611" s="567">
        <f t="shared" ref="E611:E620" si="287">F611+G611+H611+I611+J611</f>
        <v>1.5590000000000002</v>
      </c>
      <c r="F611" s="567">
        <v>0.20300000000000001</v>
      </c>
      <c r="G611" s="567">
        <v>0</v>
      </c>
      <c r="H611" s="567">
        <v>1.3560000000000001</v>
      </c>
      <c r="I611" s="567">
        <v>0</v>
      </c>
      <c r="J611" s="567">
        <v>0</v>
      </c>
      <c r="K611" s="52">
        <f t="shared" si="276"/>
        <v>1.5590000000000002</v>
      </c>
      <c r="L611" s="52" t="s">
        <v>821</v>
      </c>
      <c r="M611" s="239"/>
      <c r="N611" s="63"/>
      <c r="O611" s="73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6"/>
    </row>
    <row r="612" spans="1:57" s="48" customFormat="1" ht="105" customHeight="1" x14ac:dyDescent="0.2">
      <c r="A612" s="484" t="s">
        <v>1008</v>
      </c>
      <c r="B612" s="490" t="s">
        <v>822</v>
      </c>
      <c r="C612" s="735"/>
      <c r="D612" s="470">
        <v>2019</v>
      </c>
      <c r="E612" s="567">
        <f t="shared" si="287"/>
        <v>3.2126000000000001</v>
      </c>
      <c r="F612" s="567">
        <v>0.41760000000000003</v>
      </c>
      <c r="G612" s="567">
        <v>0</v>
      </c>
      <c r="H612" s="567">
        <v>2.7949999999999999</v>
      </c>
      <c r="I612" s="567">
        <v>0</v>
      </c>
      <c r="J612" s="567">
        <v>0</v>
      </c>
      <c r="K612" s="52">
        <f t="shared" si="276"/>
        <v>3.2126000000000001</v>
      </c>
      <c r="L612" s="52" t="s">
        <v>823</v>
      </c>
      <c r="M612" s="239"/>
      <c r="N612" s="63"/>
      <c r="O612" s="73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6"/>
    </row>
    <row r="613" spans="1:57" s="48" customFormat="1" ht="103.5" customHeight="1" x14ac:dyDescent="0.2">
      <c r="A613" s="484" t="s">
        <v>1009</v>
      </c>
      <c r="B613" s="490" t="s">
        <v>824</v>
      </c>
      <c r="C613" s="735"/>
      <c r="D613" s="470">
        <v>2019</v>
      </c>
      <c r="E613" s="567">
        <f t="shared" si="287"/>
        <v>1.7907999999999999</v>
      </c>
      <c r="F613" s="567">
        <v>0.23280000000000001</v>
      </c>
      <c r="G613" s="567">
        <v>0</v>
      </c>
      <c r="H613" s="567">
        <v>1.5580000000000001</v>
      </c>
      <c r="I613" s="567">
        <v>0</v>
      </c>
      <c r="J613" s="567">
        <v>0</v>
      </c>
      <c r="K613" s="52">
        <f t="shared" si="276"/>
        <v>1.7907999999999999</v>
      </c>
      <c r="L613" s="52" t="s">
        <v>825</v>
      </c>
      <c r="M613" s="239"/>
      <c r="N613" s="63"/>
      <c r="O613" s="73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6"/>
    </row>
    <row r="614" spans="1:57" s="48" customFormat="1" ht="103.5" customHeight="1" x14ac:dyDescent="0.2">
      <c r="A614" s="484" t="s">
        <v>1010</v>
      </c>
      <c r="B614" s="490" t="s">
        <v>826</v>
      </c>
      <c r="C614" s="735"/>
      <c r="D614" s="470">
        <v>2019</v>
      </c>
      <c r="E614" s="567">
        <f t="shared" si="287"/>
        <v>3.2126000000000001</v>
      </c>
      <c r="F614" s="567">
        <v>0.41760000000000003</v>
      </c>
      <c r="G614" s="567">
        <v>0</v>
      </c>
      <c r="H614" s="567">
        <v>2.7949999999999999</v>
      </c>
      <c r="I614" s="567">
        <v>0</v>
      </c>
      <c r="J614" s="567">
        <v>0</v>
      </c>
      <c r="K614" s="52">
        <f t="shared" si="276"/>
        <v>3.2126000000000001</v>
      </c>
      <c r="L614" s="52" t="s">
        <v>827</v>
      </c>
      <c r="M614" s="239"/>
      <c r="N614" s="63"/>
      <c r="O614" s="73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6"/>
    </row>
    <row r="615" spans="1:57" s="48" customFormat="1" ht="100.5" customHeight="1" x14ac:dyDescent="0.2">
      <c r="A615" s="484" t="s">
        <v>1011</v>
      </c>
      <c r="B615" s="490" t="s">
        <v>828</v>
      </c>
      <c r="C615" s="735"/>
      <c r="D615" s="470">
        <v>2019</v>
      </c>
      <c r="E615" s="567">
        <f t="shared" si="287"/>
        <v>1.7907999999999999</v>
      </c>
      <c r="F615" s="567">
        <v>0.23280000000000001</v>
      </c>
      <c r="G615" s="567">
        <v>0</v>
      </c>
      <c r="H615" s="567">
        <v>1.5580000000000001</v>
      </c>
      <c r="I615" s="567">
        <v>0</v>
      </c>
      <c r="J615" s="567">
        <v>0</v>
      </c>
      <c r="K615" s="52">
        <f t="shared" si="276"/>
        <v>1.7907999999999999</v>
      </c>
      <c r="L615" s="52" t="s">
        <v>825</v>
      </c>
      <c r="M615" s="239"/>
      <c r="N615" s="63"/>
      <c r="O615" s="73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6"/>
    </row>
    <row r="616" spans="1:57" s="48" customFormat="1" ht="105.75" customHeight="1" x14ac:dyDescent="0.2">
      <c r="A616" s="495" t="s">
        <v>1012</v>
      </c>
      <c r="B616" s="472" t="s">
        <v>829</v>
      </c>
      <c r="C616" s="735"/>
      <c r="D616" s="470">
        <v>2019</v>
      </c>
      <c r="E616" s="567">
        <f t="shared" si="287"/>
        <v>3.2126000000000001</v>
      </c>
      <c r="F616" s="567">
        <v>0.41760000000000003</v>
      </c>
      <c r="G616" s="567">
        <v>0</v>
      </c>
      <c r="H616" s="567">
        <v>2.7949999999999999</v>
      </c>
      <c r="I616" s="567">
        <v>0</v>
      </c>
      <c r="J616" s="567">
        <v>0</v>
      </c>
      <c r="K616" s="52">
        <f t="shared" si="276"/>
        <v>3.2126000000000001</v>
      </c>
      <c r="L616" s="52" t="s">
        <v>830</v>
      </c>
      <c r="M616" s="239"/>
      <c r="N616" s="63"/>
      <c r="O616" s="73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6"/>
    </row>
    <row r="617" spans="1:57" s="48" customFormat="1" ht="103.5" customHeight="1" x14ac:dyDescent="0.2">
      <c r="A617" s="495" t="s">
        <v>1013</v>
      </c>
      <c r="B617" s="472" t="s">
        <v>831</v>
      </c>
      <c r="C617" s="735"/>
      <c r="D617" s="470">
        <v>2019</v>
      </c>
      <c r="E617" s="567">
        <f t="shared" si="287"/>
        <v>2.0596999999999999</v>
      </c>
      <c r="F617" s="567">
        <v>0.26769999999999999</v>
      </c>
      <c r="G617" s="567">
        <v>0</v>
      </c>
      <c r="H617" s="567">
        <v>1.792</v>
      </c>
      <c r="I617" s="567">
        <v>0</v>
      </c>
      <c r="J617" s="567">
        <v>0</v>
      </c>
      <c r="K617" s="52">
        <f t="shared" si="276"/>
        <v>2.0596999999999999</v>
      </c>
      <c r="L617" s="52" t="s">
        <v>570</v>
      </c>
      <c r="M617" s="239"/>
      <c r="N617" s="63"/>
      <c r="O617" s="73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6"/>
    </row>
    <row r="618" spans="1:57" s="48" customFormat="1" ht="102" customHeight="1" x14ac:dyDescent="0.2">
      <c r="A618" s="495" t="s">
        <v>1014</v>
      </c>
      <c r="B618" s="472" t="s">
        <v>832</v>
      </c>
      <c r="C618" s="735"/>
      <c r="D618" s="470">
        <v>2019</v>
      </c>
      <c r="E618" s="567">
        <f t="shared" si="287"/>
        <v>3.2126000000000001</v>
      </c>
      <c r="F618" s="567">
        <v>0.41760000000000003</v>
      </c>
      <c r="G618" s="567">
        <v>0</v>
      </c>
      <c r="H618" s="567">
        <v>2.7949999999999999</v>
      </c>
      <c r="I618" s="567">
        <v>0</v>
      </c>
      <c r="J618" s="567">
        <v>0</v>
      </c>
      <c r="K618" s="52">
        <f t="shared" si="276"/>
        <v>3.2126000000000001</v>
      </c>
      <c r="L618" s="52" t="s">
        <v>823</v>
      </c>
      <c r="M618" s="239"/>
      <c r="N618" s="63"/>
      <c r="O618" s="73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6"/>
    </row>
    <row r="619" spans="1:57" s="48" customFormat="1" ht="104.25" customHeight="1" x14ac:dyDescent="0.2">
      <c r="A619" s="495" t="s">
        <v>1015</v>
      </c>
      <c r="B619" s="472" t="s">
        <v>833</v>
      </c>
      <c r="C619" s="770"/>
      <c r="D619" s="470">
        <v>2019</v>
      </c>
      <c r="E619" s="567">
        <f t="shared" si="287"/>
        <v>5.2412999999999998</v>
      </c>
      <c r="F619" s="567">
        <v>0.68130000000000002</v>
      </c>
      <c r="G619" s="567">
        <v>0</v>
      </c>
      <c r="H619" s="567">
        <v>4.5599999999999996</v>
      </c>
      <c r="I619" s="567">
        <v>0</v>
      </c>
      <c r="J619" s="567">
        <v>0</v>
      </c>
      <c r="K619" s="52">
        <f t="shared" si="276"/>
        <v>5.2412999999999998</v>
      </c>
      <c r="L619" s="52" t="s">
        <v>966</v>
      </c>
      <c r="M619" s="239"/>
      <c r="N619" s="63"/>
      <c r="O619" s="770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6"/>
    </row>
    <row r="620" spans="1:57" s="48" customFormat="1" ht="104.25" customHeight="1" x14ac:dyDescent="0.2">
      <c r="A620" s="495" t="s">
        <v>1016</v>
      </c>
      <c r="B620" s="472" t="s">
        <v>1003</v>
      </c>
      <c r="C620" s="515"/>
      <c r="D620" s="470">
        <v>2019</v>
      </c>
      <c r="E620" s="567">
        <f t="shared" si="287"/>
        <v>0.97889999999999999</v>
      </c>
      <c r="F620" s="567">
        <v>1E-3</v>
      </c>
      <c r="G620" s="567">
        <v>0</v>
      </c>
      <c r="H620" s="567">
        <v>0.97789999999999999</v>
      </c>
      <c r="I620" s="567">
        <v>0</v>
      </c>
      <c r="J620" s="567">
        <v>0</v>
      </c>
      <c r="K620" s="52">
        <f t="shared" si="276"/>
        <v>0.97889999999999999</v>
      </c>
      <c r="L620" s="52"/>
      <c r="M620" s="239"/>
      <c r="N620" s="63"/>
      <c r="O620" s="512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6"/>
    </row>
    <row r="621" spans="1:57" s="48" customFormat="1" ht="73.5" customHeight="1" x14ac:dyDescent="0.2">
      <c r="A621" s="495" t="s">
        <v>1017</v>
      </c>
      <c r="B621" s="472" t="s">
        <v>963</v>
      </c>
      <c r="C621" s="515"/>
      <c r="D621" s="470">
        <v>2020</v>
      </c>
      <c r="E621" s="567">
        <f>F621+G621+H621+I621+J621</f>
        <v>8.8452000000000002</v>
      </c>
      <c r="F621" s="567">
        <v>1.1498999999999999</v>
      </c>
      <c r="G621" s="567">
        <v>0</v>
      </c>
      <c r="H621" s="567">
        <v>7.6952999999999996</v>
      </c>
      <c r="I621" s="567">
        <v>0</v>
      </c>
      <c r="J621" s="567">
        <v>0</v>
      </c>
      <c r="K621" s="52">
        <f t="shared" si="276"/>
        <v>8.8452000000000002</v>
      </c>
      <c r="L621" s="52" t="s">
        <v>966</v>
      </c>
      <c r="M621" s="239"/>
      <c r="N621" s="63"/>
      <c r="O621" s="512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6"/>
    </row>
    <row r="622" spans="1:57" s="48" customFormat="1" ht="73.5" customHeight="1" x14ac:dyDescent="0.2">
      <c r="A622" s="495" t="s">
        <v>1018</v>
      </c>
      <c r="B622" s="472" t="s">
        <v>964</v>
      </c>
      <c r="C622" s="515"/>
      <c r="D622" s="470">
        <v>2020</v>
      </c>
      <c r="E622" s="567">
        <f>F622+G622+H622+I622+J622</f>
        <v>5.4904999999999999</v>
      </c>
      <c r="F622" s="567">
        <v>0.71379999999999999</v>
      </c>
      <c r="G622" s="567">
        <v>0</v>
      </c>
      <c r="H622" s="567">
        <v>4.7766999999999999</v>
      </c>
      <c r="I622" s="567">
        <v>0</v>
      </c>
      <c r="J622" s="567">
        <v>0</v>
      </c>
      <c r="K622" s="52">
        <f t="shared" si="276"/>
        <v>5.4904999999999999</v>
      </c>
      <c r="L622" s="52" t="s">
        <v>967</v>
      </c>
      <c r="M622" s="239"/>
      <c r="N622" s="63"/>
      <c r="O622" s="512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6"/>
    </row>
    <row r="623" spans="1:57" s="48" customFormat="1" ht="65.25" customHeight="1" x14ac:dyDescent="0.2">
      <c r="A623" s="495" t="s">
        <v>1019</v>
      </c>
      <c r="B623" s="472" t="s">
        <v>965</v>
      </c>
      <c r="C623" s="515"/>
      <c r="D623" s="470">
        <v>2020</v>
      </c>
      <c r="E623" s="567">
        <f>F623+G623+H623+I623+J623</f>
        <v>4.3780999999999999</v>
      </c>
      <c r="F623" s="567">
        <v>0.56910000000000005</v>
      </c>
      <c r="G623" s="567">
        <v>0</v>
      </c>
      <c r="H623" s="567">
        <v>3.8090000000000002</v>
      </c>
      <c r="I623" s="567">
        <v>0</v>
      </c>
      <c r="J623" s="567">
        <v>0</v>
      </c>
      <c r="K623" s="52">
        <f t="shared" si="276"/>
        <v>4.3780999999999999</v>
      </c>
      <c r="L623" s="52" t="s">
        <v>823</v>
      </c>
      <c r="M623" s="239"/>
      <c r="N623" s="63"/>
      <c r="O623" s="512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6"/>
    </row>
    <row r="624" spans="1:57" s="48" customFormat="1" ht="21.75" customHeight="1" x14ac:dyDescent="0.2">
      <c r="A624" s="697" t="s">
        <v>848</v>
      </c>
      <c r="B624" s="705" t="s">
        <v>884</v>
      </c>
      <c r="C624" s="631" t="s">
        <v>386</v>
      </c>
      <c r="D624" s="46" t="s">
        <v>198</v>
      </c>
      <c r="E624" s="240">
        <f>J624+I624+H624+G624</f>
        <v>231.25899999999999</v>
      </c>
      <c r="F624" s="240">
        <f>F625+F626+F627</f>
        <v>0</v>
      </c>
      <c r="G624" s="240">
        <f>G625+G626+G627</f>
        <v>0</v>
      </c>
      <c r="H624" s="240">
        <f>H625+H626+H627</f>
        <v>0</v>
      </c>
      <c r="I624" s="240">
        <f>I625+I626+I627+I628+I629+I630+I631+I632+I633</f>
        <v>231.25899999999999</v>
      </c>
      <c r="J624" s="240">
        <f>J625+J626+J627</f>
        <v>0</v>
      </c>
      <c r="K624" s="52">
        <f t="shared" si="276"/>
        <v>231.25899999999999</v>
      </c>
      <c r="L624" s="52"/>
      <c r="M624" s="797"/>
      <c r="N624" s="796"/>
      <c r="O624" s="695" t="s">
        <v>225</v>
      </c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6"/>
    </row>
    <row r="625" spans="1:57" s="48" customFormat="1" ht="29.25" customHeight="1" x14ac:dyDescent="0.2">
      <c r="A625" s="698"/>
      <c r="B625" s="706"/>
      <c r="C625" s="648"/>
      <c r="D625" s="470">
        <v>2019</v>
      </c>
      <c r="E625" s="241">
        <f>F625+G625+H625+I625+J625</f>
        <v>12.183999999999999</v>
      </c>
      <c r="F625" s="567">
        <v>0</v>
      </c>
      <c r="G625" s="567">
        <v>0</v>
      </c>
      <c r="H625" s="567">
        <v>0</v>
      </c>
      <c r="I625" s="567">
        <v>12.183999999999999</v>
      </c>
      <c r="J625" s="567">
        <v>0</v>
      </c>
      <c r="K625" s="52">
        <f t="shared" si="276"/>
        <v>12.183999999999999</v>
      </c>
      <c r="L625" s="52"/>
      <c r="M625" s="798"/>
      <c r="N625" s="800"/>
      <c r="O625" s="700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6"/>
    </row>
    <row r="626" spans="1:57" s="48" customFormat="1" ht="25.5" customHeight="1" x14ac:dyDescent="0.2">
      <c r="A626" s="698"/>
      <c r="B626" s="706"/>
      <c r="C626" s="648"/>
      <c r="D626" s="470">
        <v>2020</v>
      </c>
      <c r="E626" s="567">
        <f>F626+G626+H626+I626+J626</f>
        <v>8.6920000000000002</v>
      </c>
      <c r="F626" s="567">
        <v>0</v>
      </c>
      <c r="G626" s="567">
        <v>0</v>
      </c>
      <c r="H626" s="567">
        <v>0</v>
      </c>
      <c r="I626" s="567">
        <v>8.6920000000000002</v>
      </c>
      <c r="J626" s="567">
        <v>0</v>
      </c>
      <c r="K626" s="52">
        <f t="shared" si="276"/>
        <v>8.6920000000000002</v>
      </c>
      <c r="L626" s="52"/>
      <c r="M626" s="798"/>
      <c r="N626" s="800"/>
      <c r="O626" s="700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6"/>
    </row>
    <row r="627" spans="1:57" s="48" customFormat="1" ht="38.25" customHeight="1" x14ac:dyDescent="0.2">
      <c r="A627" s="698"/>
      <c r="B627" s="706"/>
      <c r="C627" s="648"/>
      <c r="D627" s="470">
        <v>2021</v>
      </c>
      <c r="E627" s="567">
        <f>F627+G627+H627+I627+J627</f>
        <v>26.259</v>
      </c>
      <c r="F627" s="567">
        <v>0</v>
      </c>
      <c r="G627" s="567">
        <v>0</v>
      </c>
      <c r="H627" s="567">
        <v>0</v>
      </c>
      <c r="I627" s="567">
        <v>26.259</v>
      </c>
      <c r="J627" s="567">
        <v>0</v>
      </c>
      <c r="K627" s="52">
        <f t="shared" si="276"/>
        <v>26.259</v>
      </c>
      <c r="L627" s="52"/>
      <c r="M627" s="798"/>
      <c r="N627" s="800"/>
      <c r="O627" s="700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6"/>
    </row>
    <row r="628" spans="1:57" s="48" customFormat="1" ht="19.5" customHeight="1" x14ac:dyDescent="0.2">
      <c r="A628" s="698"/>
      <c r="B628" s="706"/>
      <c r="C628" s="648"/>
      <c r="D628" s="470">
        <v>2022</v>
      </c>
      <c r="E628" s="567">
        <f>F628+G628+H628+I628+J628</f>
        <v>42.564999999999998</v>
      </c>
      <c r="F628" s="567">
        <v>0</v>
      </c>
      <c r="G628" s="567">
        <v>0</v>
      </c>
      <c r="H628" s="567">
        <v>0</v>
      </c>
      <c r="I628" s="567">
        <v>42.564999999999998</v>
      </c>
      <c r="J628" s="567">
        <v>0</v>
      </c>
      <c r="K628" s="52">
        <f t="shared" si="276"/>
        <v>42.564999999999998</v>
      </c>
      <c r="L628" s="52"/>
      <c r="M628" s="798"/>
      <c r="N628" s="800"/>
      <c r="O628" s="700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6"/>
    </row>
    <row r="629" spans="1:57" s="48" customFormat="1" ht="18.75" customHeight="1" x14ac:dyDescent="0.2">
      <c r="A629" s="698"/>
      <c r="B629" s="706"/>
      <c r="C629" s="648"/>
      <c r="D629" s="470">
        <v>2023</v>
      </c>
      <c r="E629" s="567">
        <f t="shared" ref="E629:E633" si="288">F629+G629+H629+I629+J629</f>
        <v>33.200000000000003</v>
      </c>
      <c r="F629" s="567">
        <v>0</v>
      </c>
      <c r="G629" s="567">
        <v>0</v>
      </c>
      <c r="H629" s="567">
        <v>0</v>
      </c>
      <c r="I629" s="567">
        <v>33.200000000000003</v>
      </c>
      <c r="J629" s="567">
        <v>0</v>
      </c>
      <c r="K629" s="52">
        <f t="shared" si="276"/>
        <v>33.200000000000003</v>
      </c>
      <c r="L629" s="52"/>
      <c r="M629" s="798"/>
      <c r="N629" s="800"/>
      <c r="O629" s="700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6"/>
    </row>
    <row r="630" spans="1:57" s="48" customFormat="1" ht="19.5" customHeight="1" x14ac:dyDescent="0.2">
      <c r="A630" s="698"/>
      <c r="B630" s="706"/>
      <c r="C630" s="648"/>
      <c r="D630" s="470">
        <v>2024</v>
      </c>
      <c r="E630" s="567">
        <f t="shared" si="288"/>
        <v>33.859000000000002</v>
      </c>
      <c r="F630" s="567">
        <v>0</v>
      </c>
      <c r="G630" s="567">
        <v>0</v>
      </c>
      <c r="H630" s="567">
        <v>0</v>
      </c>
      <c r="I630" s="567">
        <v>33.859000000000002</v>
      </c>
      <c r="J630" s="567">
        <v>0</v>
      </c>
      <c r="K630" s="52">
        <f t="shared" si="276"/>
        <v>33.859000000000002</v>
      </c>
      <c r="L630" s="52"/>
      <c r="M630" s="798"/>
      <c r="N630" s="800"/>
      <c r="O630" s="700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6"/>
    </row>
    <row r="631" spans="1:57" s="48" customFormat="1" ht="18" customHeight="1" x14ac:dyDescent="0.2">
      <c r="A631" s="698"/>
      <c r="B631" s="706"/>
      <c r="C631" s="648"/>
      <c r="D631" s="470">
        <v>2025</v>
      </c>
      <c r="E631" s="567">
        <f t="shared" si="288"/>
        <v>29</v>
      </c>
      <c r="F631" s="567">
        <v>0</v>
      </c>
      <c r="G631" s="567">
        <v>0</v>
      </c>
      <c r="H631" s="567">
        <v>0</v>
      </c>
      <c r="I631" s="567">
        <v>29</v>
      </c>
      <c r="J631" s="567">
        <v>0</v>
      </c>
      <c r="K631" s="52">
        <f t="shared" si="276"/>
        <v>29</v>
      </c>
      <c r="L631" s="52"/>
      <c r="M631" s="798"/>
      <c r="N631" s="800"/>
      <c r="O631" s="700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6"/>
    </row>
    <row r="632" spans="1:57" s="48" customFormat="1" ht="14.25" customHeight="1" x14ac:dyDescent="0.2">
      <c r="A632" s="698"/>
      <c r="B632" s="706"/>
      <c r="C632" s="648"/>
      <c r="D632" s="470">
        <v>2026</v>
      </c>
      <c r="E632" s="567">
        <f t="shared" si="288"/>
        <v>27.5</v>
      </c>
      <c r="F632" s="567">
        <v>0</v>
      </c>
      <c r="G632" s="567">
        <v>0</v>
      </c>
      <c r="H632" s="567">
        <v>0</v>
      </c>
      <c r="I632" s="567">
        <v>27.5</v>
      </c>
      <c r="J632" s="567">
        <v>0</v>
      </c>
      <c r="K632" s="52">
        <f t="shared" si="276"/>
        <v>27.5</v>
      </c>
      <c r="L632" s="52"/>
      <c r="M632" s="798"/>
      <c r="N632" s="800"/>
      <c r="O632" s="700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6"/>
    </row>
    <row r="633" spans="1:57" s="48" customFormat="1" ht="15" customHeight="1" x14ac:dyDescent="0.2">
      <c r="A633" s="698"/>
      <c r="B633" s="730"/>
      <c r="C633" s="632"/>
      <c r="D633" s="470">
        <v>2027</v>
      </c>
      <c r="E633" s="567">
        <f t="shared" si="288"/>
        <v>18</v>
      </c>
      <c r="F633" s="567">
        <v>0</v>
      </c>
      <c r="G633" s="567">
        <v>0</v>
      </c>
      <c r="H633" s="567">
        <v>0</v>
      </c>
      <c r="I633" s="567">
        <v>18</v>
      </c>
      <c r="J633" s="567">
        <v>0</v>
      </c>
      <c r="K633" s="52">
        <f t="shared" si="276"/>
        <v>18</v>
      </c>
      <c r="L633" s="52"/>
      <c r="M633" s="799"/>
      <c r="N633" s="801"/>
      <c r="O633" s="696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6"/>
    </row>
    <row r="634" spans="1:57" s="48" customFormat="1" x14ac:dyDescent="0.2">
      <c r="A634" s="697" t="s">
        <v>849</v>
      </c>
      <c r="B634" s="631" t="s">
        <v>449</v>
      </c>
      <c r="C634" s="631" t="s">
        <v>386</v>
      </c>
      <c r="D634" s="46" t="s">
        <v>198</v>
      </c>
      <c r="E634" s="47">
        <f>E635+E636+E637+E638+E639+E640+E641+E642</f>
        <v>10.757899999999999</v>
      </c>
      <c r="F634" s="47">
        <f t="shared" ref="F634:J634" si="289">F635+F636+F637+F638+F639+F640+F641+F642</f>
        <v>0</v>
      </c>
      <c r="G634" s="47">
        <f t="shared" si="289"/>
        <v>0</v>
      </c>
      <c r="H634" s="47">
        <f t="shared" si="289"/>
        <v>0</v>
      </c>
      <c r="I634" s="47">
        <f>I635+I636+I637+I638+I639+I640+I641+I642</f>
        <v>10.757899999999999</v>
      </c>
      <c r="J634" s="47">
        <f t="shared" si="289"/>
        <v>0</v>
      </c>
      <c r="K634" s="52">
        <f t="shared" si="276"/>
        <v>10.757899999999999</v>
      </c>
      <c r="L634" s="52"/>
      <c r="M634" s="793"/>
      <c r="N634" s="796"/>
      <c r="O634" s="746" t="s">
        <v>178</v>
      </c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6"/>
    </row>
    <row r="635" spans="1:57" s="48" customFormat="1" x14ac:dyDescent="0.2">
      <c r="A635" s="698"/>
      <c r="B635" s="701"/>
      <c r="C635" s="648"/>
      <c r="D635" s="470">
        <v>2019</v>
      </c>
      <c r="E635" s="567">
        <f>E649+E659+E676</f>
        <v>1.9235000000000002</v>
      </c>
      <c r="F635" s="567">
        <f t="shared" ref="F635:J635" si="290">F649+F659+F676</f>
        <v>0</v>
      </c>
      <c r="G635" s="567">
        <f t="shared" si="290"/>
        <v>0</v>
      </c>
      <c r="H635" s="567">
        <f t="shared" si="290"/>
        <v>0</v>
      </c>
      <c r="I635" s="567">
        <f t="shared" si="290"/>
        <v>1.9235000000000002</v>
      </c>
      <c r="J635" s="567">
        <f t="shared" si="290"/>
        <v>0</v>
      </c>
      <c r="K635" s="52">
        <f t="shared" si="276"/>
        <v>1.9235000000000002</v>
      </c>
      <c r="L635" s="52"/>
      <c r="M635" s="794"/>
      <c r="N635" s="636"/>
      <c r="O635" s="72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6"/>
    </row>
    <row r="636" spans="1:57" s="48" customFormat="1" x14ac:dyDescent="0.2">
      <c r="A636" s="698"/>
      <c r="B636" s="701"/>
      <c r="C636" s="648"/>
      <c r="D636" s="470">
        <v>2020</v>
      </c>
      <c r="E636" s="567">
        <f>E644+E654</f>
        <v>0.74539999999999995</v>
      </c>
      <c r="F636" s="567">
        <f t="shared" ref="F636:J636" si="291">F644+F654</f>
        <v>0</v>
      </c>
      <c r="G636" s="567">
        <f t="shared" si="291"/>
        <v>0</v>
      </c>
      <c r="H636" s="567">
        <f t="shared" si="291"/>
        <v>0</v>
      </c>
      <c r="I636" s="567">
        <f t="shared" si="291"/>
        <v>0.74539999999999995</v>
      </c>
      <c r="J636" s="567">
        <f t="shared" si="291"/>
        <v>0</v>
      </c>
      <c r="K636" s="52">
        <f t="shared" si="276"/>
        <v>0.74539999999999995</v>
      </c>
      <c r="L636" s="52"/>
      <c r="M636" s="794"/>
      <c r="N636" s="637"/>
      <c r="O636" s="72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6"/>
    </row>
    <row r="637" spans="1:57" s="48" customFormat="1" x14ac:dyDescent="0.2">
      <c r="A637" s="791"/>
      <c r="B637" s="701"/>
      <c r="C637" s="648"/>
      <c r="D637" s="470">
        <v>2021</v>
      </c>
      <c r="E637" s="567">
        <f>E645+E650+E655+E660</f>
        <v>1.7719</v>
      </c>
      <c r="F637" s="567">
        <f t="shared" ref="F637:J637" si="292">F645+F650+F655+F660</f>
        <v>0</v>
      </c>
      <c r="G637" s="567">
        <f t="shared" si="292"/>
        <v>0</v>
      </c>
      <c r="H637" s="567">
        <f t="shared" si="292"/>
        <v>0</v>
      </c>
      <c r="I637" s="567">
        <f t="shared" si="292"/>
        <v>1.7719</v>
      </c>
      <c r="J637" s="567">
        <f t="shared" si="292"/>
        <v>0</v>
      </c>
      <c r="K637" s="52">
        <f t="shared" si="276"/>
        <v>1.7719</v>
      </c>
      <c r="L637" s="52"/>
      <c r="M637" s="794"/>
      <c r="N637" s="222"/>
      <c r="O637" s="72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6"/>
    </row>
    <row r="638" spans="1:57" s="48" customFormat="1" x14ac:dyDescent="0.2">
      <c r="A638" s="791"/>
      <c r="B638" s="701"/>
      <c r="C638" s="648"/>
      <c r="D638" s="470">
        <v>2022</v>
      </c>
      <c r="E638" s="567">
        <f>E661+E674</f>
        <v>0.96550000000000002</v>
      </c>
      <c r="F638" s="567">
        <f t="shared" ref="F638:J638" si="293">F661+F674</f>
        <v>0</v>
      </c>
      <c r="G638" s="567">
        <f t="shared" si="293"/>
        <v>0</v>
      </c>
      <c r="H638" s="567">
        <f t="shared" si="293"/>
        <v>0</v>
      </c>
      <c r="I638" s="567">
        <f t="shared" si="293"/>
        <v>0.96550000000000002</v>
      </c>
      <c r="J638" s="567">
        <f t="shared" si="293"/>
        <v>0</v>
      </c>
      <c r="K638" s="52">
        <f t="shared" si="276"/>
        <v>0.96550000000000002</v>
      </c>
      <c r="L638" s="52"/>
      <c r="M638" s="794"/>
      <c r="N638" s="222"/>
      <c r="O638" s="72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6"/>
    </row>
    <row r="639" spans="1:57" s="48" customFormat="1" x14ac:dyDescent="0.2">
      <c r="A639" s="791"/>
      <c r="B639" s="701"/>
      <c r="C639" s="648"/>
      <c r="D639" s="470">
        <v>2023</v>
      </c>
      <c r="E639" s="567">
        <f>E662</f>
        <v>1.3379000000000001</v>
      </c>
      <c r="F639" s="567">
        <f t="shared" ref="F639:J639" si="294">F662</f>
        <v>0</v>
      </c>
      <c r="G639" s="567">
        <f t="shared" si="294"/>
        <v>0</v>
      </c>
      <c r="H639" s="567">
        <f t="shared" si="294"/>
        <v>0</v>
      </c>
      <c r="I639" s="567">
        <f t="shared" si="294"/>
        <v>1.3379000000000001</v>
      </c>
      <c r="J639" s="567">
        <f t="shared" si="294"/>
        <v>0</v>
      </c>
      <c r="K639" s="52">
        <f t="shared" si="276"/>
        <v>1.3379000000000001</v>
      </c>
      <c r="L639" s="52"/>
      <c r="M639" s="794"/>
      <c r="N639" s="222"/>
      <c r="O639" s="72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6"/>
    </row>
    <row r="640" spans="1:57" s="48" customFormat="1" x14ac:dyDescent="0.2">
      <c r="A640" s="791"/>
      <c r="B640" s="701"/>
      <c r="C640" s="648"/>
      <c r="D640" s="470">
        <v>2024</v>
      </c>
      <c r="E640" s="567">
        <f t="shared" ref="E640:J642" si="295">E663</f>
        <v>1.3379000000000001</v>
      </c>
      <c r="F640" s="567">
        <f t="shared" si="295"/>
        <v>0</v>
      </c>
      <c r="G640" s="567">
        <f t="shared" si="295"/>
        <v>0</v>
      </c>
      <c r="H640" s="567">
        <f t="shared" si="295"/>
        <v>0</v>
      </c>
      <c r="I640" s="567">
        <f t="shared" si="295"/>
        <v>1.3379000000000001</v>
      </c>
      <c r="J640" s="567">
        <f t="shared" si="295"/>
        <v>0</v>
      </c>
      <c r="K640" s="52">
        <f t="shared" si="276"/>
        <v>1.3379000000000001</v>
      </c>
      <c r="L640" s="52"/>
      <c r="M640" s="794"/>
      <c r="N640" s="222"/>
      <c r="O640" s="72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6"/>
    </row>
    <row r="641" spans="1:57" s="48" customFormat="1" x14ac:dyDescent="0.2">
      <c r="A641" s="791"/>
      <c r="B641" s="701"/>
      <c r="C641" s="648"/>
      <c r="D641" s="470">
        <v>2025</v>
      </c>
      <c r="E641" s="567">
        <f t="shared" si="295"/>
        <v>1.3379000000000001</v>
      </c>
      <c r="F641" s="567">
        <f t="shared" si="295"/>
        <v>0</v>
      </c>
      <c r="G641" s="567">
        <f t="shared" si="295"/>
        <v>0</v>
      </c>
      <c r="H641" s="567">
        <f t="shared" si="295"/>
        <v>0</v>
      </c>
      <c r="I641" s="567">
        <f t="shared" si="295"/>
        <v>1.3379000000000001</v>
      </c>
      <c r="J641" s="567">
        <f t="shared" si="295"/>
        <v>0</v>
      </c>
      <c r="K641" s="52">
        <f t="shared" si="276"/>
        <v>1.3379000000000001</v>
      </c>
      <c r="L641" s="52"/>
      <c r="M641" s="794"/>
      <c r="N641" s="222"/>
      <c r="O641" s="72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6"/>
    </row>
    <row r="642" spans="1:57" s="48" customFormat="1" x14ac:dyDescent="0.2">
      <c r="A642" s="792"/>
      <c r="B642" s="702"/>
      <c r="C642" s="648"/>
      <c r="D642" s="470">
        <v>2026</v>
      </c>
      <c r="E642" s="567">
        <f t="shared" si="295"/>
        <v>1.3379000000000001</v>
      </c>
      <c r="F642" s="567">
        <f t="shared" si="295"/>
        <v>0</v>
      </c>
      <c r="G642" s="567">
        <f t="shared" si="295"/>
        <v>0</v>
      </c>
      <c r="H642" s="567">
        <f t="shared" si="295"/>
        <v>0</v>
      </c>
      <c r="I642" s="567">
        <f t="shared" si="295"/>
        <v>1.3379000000000001</v>
      </c>
      <c r="J642" s="567">
        <f t="shared" si="295"/>
        <v>0</v>
      </c>
      <c r="K642" s="52">
        <f t="shared" si="276"/>
        <v>1.3379000000000001</v>
      </c>
      <c r="L642" s="52"/>
      <c r="M642" s="794"/>
      <c r="N642" s="222"/>
      <c r="O642" s="72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6"/>
    </row>
    <row r="643" spans="1:57" s="48" customFormat="1" x14ac:dyDescent="0.2">
      <c r="A643" s="697" t="s">
        <v>1020</v>
      </c>
      <c r="B643" s="631" t="s">
        <v>450</v>
      </c>
      <c r="C643" s="499"/>
      <c r="D643" s="46" t="s">
        <v>198</v>
      </c>
      <c r="E643" s="47">
        <f>E644+E645</f>
        <v>0.9708</v>
      </c>
      <c r="F643" s="47">
        <f t="shared" ref="F643:J643" si="296">F644+F645</f>
        <v>0</v>
      </c>
      <c r="G643" s="47">
        <f t="shared" si="296"/>
        <v>0</v>
      </c>
      <c r="H643" s="47">
        <f t="shared" si="296"/>
        <v>0</v>
      </c>
      <c r="I643" s="47">
        <f t="shared" si="296"/>
        <v>0.9708</v>
      </c>
      <c r="J643" s="47">
        <f t="shared" si="296"/>
        <v>0</v>
      </c>
      <c r="K643" s="52">
        <f t="shared" si="276"/>
        <v>0.9708</v>
      </c>
      <c r="L643" s="52"/>
      <c r="M643" s="794"/>
      <c r="N643" s="222"/>
      <c r="O643" s="72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6"/>
    </row>
    <row r="644" spans="1:57" s="48" customFormat="1" x14ac:dyDescent="0.2">
      <c r="A644" s="698"/>
      <c r="B644" s="648"/>
      <c r="C644" s="499"/>
      <c r="D644" s="470">
        <v>2020</v>
      </c>
      <c r="E644" s="567">
        <f t="shared" ref="E644:J645" si="297">E646</f>
        <v>0.66839999999999999</v>
      </c>
      <c r="F644" s="567">
        <f t="shared" si="297"/>
        <v>0</v>
      </c>
      <c r="G644" s="567">
        <f t="shared" si="297"/>
        <v>0</v>
      </c>
      <c r="H644" s="567">
        <f t="shared" si="297"/>
        <v>0</v>
      </c>
      <c r="I644" s="567">
        <f t="shared" si="297"/>
        <v>0.66839999999999999</v>
      </c>
      <c r="J644" s="567">
        <f t="shared" si="297"/>
        <v>0</v>
      </c>
      <c r="K644" s="52">
        <f t="shared" si="276"/>
        <v>0.66839999999999999</v>
      </c>
      <c r="L644" s="52"/>
      <c r="M644" s="794"/>
      <c r="N644" s="222"/>
      <c r="O644" s="72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6"/>
    </row>
    <row r="645" spans="1:57" s="48" customFormat="1" x14ac:dyDescent="0.2">
      <c r="A645" s="699"/>
      <c r="B645" s="632"/>
      <c r="C645" s="499"/>
      <c r="D645" s="470">
        <v>2021</v>
      </c>
      <c r="E645" s="567">
        <f t="shared" si="297"/>
        <v>0.3024</v>
      </c>
      <c r="F645" s="567">
        <f t="shared" si="297"/>
        <v>0</v>
      </c>
      <c r="G645" s="567">
        <f t="shared" si="297"/>
        <v>0</v>
      </c>
      <c r="H645" s="567">
        <f t="shared" si="297"/>
        <v>0</v>
      </c>
      <c r="I645" s="567">
        <f t="shared" si="297"/>
        <v>0.3024</v>
      </c>
      <c r="J645" s="567">
        <f t="shared" si="297"/>
        <v>0</v>
      </c>
      <c r="K645" s="52">
        <f t="shared" ref="K645:K708" si="298">F645+G645+H645+I645+J645</f>
        <v>0.3024</v>
      </c>
      <c r="L645" s="52"/>
      <c r="M645" s="794"/>
      <c r="N645" s="222"/>
      <c r="O645" s="72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6"/>
    </row>
    <row r="646" spans="1:57" s="48" customFormat="1" ht="38.25" x14ac:dyDescent="0.2">
      <c r="A646" s="484" t="s">
        <v>1021</v>
      </c>
      <c r="B646" s="490" t="s">
        <v>451</v>
      </c>
      <c r="C646" s="499"/>
      <c r="D646" s="470">
        <v>2020</v>
      </c>
      <c r="E646" s="567">
        <f>F646+G646+H646+I646+J646</f>
        <v>0.66839999999999999</v>
      </c>
      <c r="F646" s="567">
        <v>0</v>
      </c>
      <c r="G646" s="567">
        <v>0</v>
      </c>
      <c r="H646" s="567">
        <v>0</v>
      </c>
      <c r="I646" s="567">
        <v>0.66839999999999999</v>
      </c>
      <c r="J646" s="567">
        <v>0</v>
      </c>
      <c r="K646" s="52">
        <f t="shared" si="298"/>
        <v>0.66839999999999999</v>
      </c>
      <c r="L646" s="52"/>
      <c r="M646" s="794"/>
      <c r="N646" s="222"/>
      <c r="O646" s="72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6"/>
    </row>
    <row r="647" spans="1:57" s="48" customFormat="1" ht="51" x14ac:dyDescent="0.2">
      <c r="A647" s="484" t="s">
        <v>1022</v>
      </c>
      <c r="B647" s="490" t="s">
        <v>452</v>
      </c>
      <c r="C647" s="499"/>
      <c r="D647" s="470">
        <v>2021</v>
      </c>
      <c r="E647" s="567">
        <f>F647+G647+H647+I647+J647</f>
        <v>0.3024</v>
      </c>
      <c r="F647" s="567">
        <v>0</v>
      </c>
      <c r="G647" s="567">
        <v>0</v>
      </c>
      <c r="H647" s="567">
        <v>0</v>
      </c>
      <c r="I647" s="567">
        <v>0.3024</v>
      </c>
      <c r="J647" s="567">
        <v>0</v>
      </c>
      <c r="K647" s="52">
        <f t="shared" si="298"/>
        <v>0.3024</v>
      </c>
      <c r="L647" s="52"/>
      <c r="M647" s="794"/>
      <c r="N647" s="222"/>
      <c r="O647" s="72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6"/>
    </row>
    <row r="648" spans="1:57" s="48" customFormat="1" x14ac:dyDescent="0.2">
      <c r="A648" s="697" t="s">
        <v>1023</v>
      </c>
      <c r="B648" s="631" t="s">
        <v>453</v>
      </c>
      <c r="C648" s="499"/>
      <c r="D648" s="46" t="s">
        <v>198</v>
      </c>
      <c r="E648" s="47">
        <f>E649+E650</f>
        <v>0.75990000000000002</v>
      </c>
      <c r="F648" s="47">
        <f t="shared" ref="F648:J648" si="299">F649+F650</f>
        <v>0</v>
      </c>
      <c r="G648" s="47">
        <f t="shared" si="299"/>
        <v>0</v>
      </c>
      <c r="H648" s="47">
        <f t="shared" si="299"/>
        <v>0</v>
      </c>
      <c r="I648" s="47">
        <f t="shared" si="299"/>
        <v>0.75990000000000002</v>
      </c>
      <c r="J648" s="47">
        <f t="shared" si="299"/>
        <v>0</v>
      </c>
      <c r="K648" s="52">
        <f t="shared" si="298"/>
        <v>0.75990000000000002</v>
      </c>
      <c r="L648" s="52"/>
      <c r="M648" s="794"/>
      <c r="N648" s="222"/>
      <c r="O648" s="72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6"/>
    </row>
    <row r="649" spans="1:57" s="48" customFormat="1" x14ac:dyDescent="0.2">
      <c r="A649" s="698"/>
      <c r="B649" s="701"/>
      <c r="C649" s="499"/>
      <c r="D649" s="470">
        <v>2019</v>
      </c>
      <c r="E649" s="567">
        <f t="shared" ref="E649:J650" si="300">E651</f>
        <v>0.2369</v>
      </c>
      <c r="F649" s="567">
        <f t="shared" si="300"/>
        <v>0</v>
      </c>
      <c r="G649" s="567">
        <f t="shared" si="300"/>
        <v>0</v>
      </c>
      <c r="H649" s="567">
        <f t="shared" si="300"/>
        <v>0</v>
      </c>
      <c r="I649" s="567">
        <f t="shared" si="300"/>
        <v>0.2369</v>
      </c>
      <c r="J649" s="567">
        <f t="shared" si="300"/>
        <v>0</v>
      </c>
      <c r="K649" s="52">
        <f t="shared" si="298"/>
        <v>0.2369</v>
      </c>
      <c r="L649" s="52"/>
      <c r="M649" s="794"/>
      <c r="N649" s="222"/>
      <c r="O649" s="72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6"/>
    </row>
    <row r="650" spans="1:57" s="48" customFormat="1" x14ac:dyDescent="0.2">
      <c r="A650" s="699"/>
      <c r="B650" s="702"/>
      <c r="C650" s="499"/>
      <c r="D650" s="470">
        <v>2021</v>
      </c>
      <c r="E650" s="567">
        <f t="shared" si="300"/>
        <v>0.52300000000000002</v>
      </c>
      <c r="F650" s="567">
        <f t="shared" si="300"/>
        <v>0</v>
      </c>
      <c r="G650" s="567">
        <f t="shared" si="300"/>
        <v>0</v>
      </c>
      <c r="H650" s="567">
        <f t="shared" si="300"/>
        <v>0</v>
      </c>
      <c r="I650" s="567">
        <f t="shared" si="300"/>
        <v>0.52300000000000002</v>
      </c>
      <c r="J650" s="567">
        <f t="shared" si="300"/>
        <v>0</v>
      </c>
      <c r="K650" s="52">
        <f t="shared" si="298"/>
        <v>0.52300000000000002</v>
      </c>
      <c r="L650" s="52"/>
      <c r="M650" s="794"/>
      <c r="N650" s="222"/>
      <c r="O650" s="72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6"/>
    </row>
    <row r="651" spans="1:57" s="48" customFormat="1" ht="25.5" x14ac:dyDescent="0.2">
      <c r="A651" s="484" t="s">
        <v>1024</v>
      </c>
      <c r="B651" s="490" t="s">
        <v>454</v>
      </c>
      <c r="C651" s="499"/>
      <c r="D651" s="470">
        <v>2019</v>
      </c>
      <c r="E651" s="567">
        <f>F651+G651+H651+J651+I651</f>
        <v>0.2369</v>
      </c>
      <c r="F651" s="567">
        <v>0</v>
      </c>
      <c r="G651" s="567">
        <v>0</v>
      </c>
      <c r="H651" s="567">
        <v>0</v>
      </c>
      <c r="I651" s="567">
        <v>0.2369</v>
      </c>
      <c r="J651" s="567">
        <v>0</v>
      </c>
      <c r="K651" s="52">
        <f t="shared" si="298"/>
        <v>0.2369</v>
      </c>
      <c r="L651" s="52"/>
      <c r="M651" s="794"/>
      <c r="N651" s="222"/>
      <c r="O651" s="72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6"/>
    </row>
    <row r="652" spans="1:57" s="48" customFormat="1" x14ac:dyDescent="0.2">
      <c r="A652" s="484" t="s">
        <v>1025</v>
      </c>
      <c r="B652" s="490" t="s">
        <v>455</v>
      </c>
      <c r="C652" s="499"/>
      <c r="D652" s="470">
        <v>2021</v>
      </c>
      <c r="E652" s="567">
        <f>F652+G652+H652+J652+I652</f>
        <v>0.52300000000000002</v>
      </c>
      <c r="F652" s="567">
        <v>0</v>
      </c>
      <c r="G652" s="567">
        <v>0</v>
      </c>
      <c r="H652" s="567">
        <v>0</v>
      </c>
      <c r="I652" s="567">
        <v>0.52300000000000002</v>
      </c>
      <c r="J652" s="567">
        <v>0</v>
      </c>
      <c r="K652" s="52">
        <f t="shared" si="298"/>
        <v>0.52300000000000002</v>
      </c>
      <c r="L652" s="52"/>
      <c r="M652" s="794"/>
      <c r="N652" s="222"/>
      <c r="O652" s="72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6"/>
    </row>
    <row r="653" spans="1:57" s="48" customFormat="1" x14ac:dyDescent="0.2">
      <c r="A653" s="697" t="s">
        <v>1026</v>
      </c>
      <c r="B653" s="631" t="s">
        <v>456</v>
      </c>
      <c r="C653" s="499"/>
      <c r="D653" s="46" t="s">
        <v>198</v>
      </c>
      <c r="E653" s="47">
        <f>E654+E655</f>
        <v>0.80699999999999994</v>
      </c>
      <c r="F653" s="47">
        <f t="shared" ref="F653:J653" si="301">F654+F655</f>
        <v>0</v>
      </c>
      <c r="G653" s="47">
        <f t="shared" si="301"/>
        <v>0</v>
      </c>
      <c r="H653" s="47">
        <f t="shared" si="301"/>
        <v>0</v>
      </c>
      <c r="I653" s="47">
        <f t="shared" si="301"/>
        <v>0.80699999999999994</v>
      </c>
      <c r="J653" s="47">
        <f t="shared" si="301"/>
        <v>0</v>
      </c>
      <c r="K653" s="52">
        <f t="shared" si="298"/>
        <v>0.80699999999999994</v>
      </c>
      <c r="L653" s="52"/>
      <c r="M653" s="794"/>
      <c r="N653" s="222"/>
      <c r="O653" s="72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6"/>
    </row>
    <row r="654" spans="1:57" s="48" customFormat="1" x14ac:dyDescent="0.2">
      <c r="A654" s="698"/>
      <c r="B654" s="701"/>
      <c r="C654" s="499"/>
      <c r="D654" s="470">
        <v>2020</v>
      </c>
      <c r="E654" s="567">
        <f>E656</f>
        <v>7.6999999999999999E-2</v>
      </c>
      <c r="F654" s="567">
        <f t="shared" ref="F654:J655" si="302">F656</f>
        <v>0</v>
      </c>
      <c r="G654" s="567">
        <f t="shared" si="302"/>
        <v>0</v>
      </c>
      <c r="H654" s="567">
        <f t="shared" si="302"/>
        <v>0</v>
      </c>
      <c r="I654" s="567">
        <f t="shared" si="302"/>
        <v>7.6999999999999999E-2</v>
      </c>
      <c r="J654" s="567">
        <f t="shared" si="302"/>
        <v>0</v>
      </c>
      <c r="K654" s="52">
        <f t="shared" si="298"/>
        <v>7.6999999999999999E-2</v>
      </c>
      <c r="L654" s="52"/>
      <c r="M654" s="794"/>
      <c r="N654" s="222"/>
      <c r="O654" s="72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6"/>
    </row>
    <row r="655" spans="1:57" s="48" customFormat="1" x14ac:dyDescent="0.2">
      <c r="A655" s="699"/>
      <c r="B655" s="702"/>
      <c r="C655" s="499"/>
      <c r="D655" s="470">
        <v>2021</v>
      </c>
      <c r="E655" s="567">
        <f>E657</f>
        <v>0.73</v>
      </c>
      <c r="F655" s="567">
        <f t="shared" si="302"/>
        <v>0</v>
      </c>
      <c r="G655" s="567">
        <f t="shared" si="302"/>
        <v>0</v>
      </c>
      <c r="H655" s="567">
        <f t="shared" si="302"/>
        <v>0</v>
      </c>
      <c r="I655" s="567">
        <f t="shared" si="302"/>
        <v>0.73</v>
      </c>
      <c r="J655" s="567">
        <f t="shared" si="302"/>
        <v>0</v>
      </c>
      <c r="K655" s="52">
        <f t="shared" si="298"/>
        <v>0.73</v>
      </c>
      <c r="L655" s="52"/>
      <c r="M655" s="794"/>
      <c r="N655" s="222"/>
      <c r="O655" s="72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6"/>
    </row>
    <row r="656" spans="1:57" s="48" customFormat="1" x14ac:dyDescent="0.2">
      <c r="A656" s="484" t="s">
        <v>1027</v>
      </c>
      <c r="B656" s="490" t="s">
        <v>457</v>
      </c>
      <c r="C656" s="499"/>
      <c r="D656" s="470">
        <v>2020</v>
      </c>
      <c r="E656" s="567">
        <f>F656+G656+H656+I656+J656</f>
        <v>7.6999999999999999E-2</v>
      </c>
      <c r="F656" s="567">
        <v>0</v>
      </c>
      <c r="G656" s="567">
        <v>0</v>
      </c>
      <c r="H656" s="567">
        <v>0</v>
      </c>
      <c r="I656" s="567">
        <v>7.6999999999999999E-2</v>
      </c>
      <c r="J656" s="567">
        <v>0</v>
      </c>
      <c r="K656" s="52">
        <f t="shared" si="298"/>
        <v>7.6999999999999999E-2</v>
      </c>
      <c r="L656" s="52"/>
      <c r="M656" s="794"/>
      <c r="N656" s="222"/>
      <c r="O656" s="72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6"/>
    </row>
    <row r="657" spans="1:57" s="48" customFormat="1" ht="38.25" x14ac:dyDescent="0.2">
      <c r="A657" s="484" t="s">
        <v>1028</v>
      </c>
      <c r="B657" s="490" t="s">
        <v>458</v>
      </c>
      <c r="C657" s="499"/>
      <c r="D657" s="470">
        <v>2021</v>
      </c>
      <c r="E657" s="567">
        <f>F657+G657+H657+I657+J657</f>
        <v>0.73</v>
      </c>
      <c r="F657" s="567">
        <v>0</v>
      </c>
      <c r="G657" s="567">
        <v>0</v>
      </c>
      <c r="H657" s="567">
        <v>0</v>
      </c>
      <c r="I657" s="567">
        <v>0.73</v>
      </c>
      <c r="J657" s="567">
        <v>0</v>
      </c>
      <c r="K657" s="52">
        <f t="shared" si="298"/>
        <v>0.73</v>
      </c>
      <c r="L657" s="52"/>
      <c r="M657" s="794"/>
      <c r="N657" s="222"/>
      <c r="O657" s="72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6"/>
    </row>
    <row r="658" spans="1:57" s="48" customFormat="1" ht="24.75" customHeight="1" x14ac:dyDescent="0.2">
      <c r="A658" s="697" t="s">
        <v>1029</v>
      </c>
      <c r="B658" s="631" t="s">
        <v>459</v>
      </c>
      <c r="C658" s="499"/>
      <c r="D658" s="46" t="s">
        <v>198</v>
      </c>
      <c r="E658" s="47">
        <f>E659+E660+E661+E662+E663+E664+E665</f>
        <v>7.6816000000000013</v>
      </c>
      <c r="F658" s="47">
        <f t="shared" ref="F658:J658" si="303">F659+F660+F661+F662+F663+F664+F665</f>
        <v>0</v>
      </c>
      <c r="G658" s="47">
        <f t="shared" si="303"/>
        <v>0</v>
      </c>
      <c r="H658" s="47">
        <f t="shared" si="303"/>
        <v>0</v>
      </c>
      <c r="I658" s="47">
        <f t="shared" si="303"/>
        <v>7.6816000000000013</v>
      </c>
      <c r="J658" s="47">
        <f t="shared" si="303"/>
        <v>0</v>
      </c>
      <c r="K658" s="52">
        <f t="shared" si="298"/>
        <v>7.6816000000000013</v>
      </c>
      <c r="L658" s="52"/>
      <c r="M658" s="794"/>
      <c r="N658" s="222"/>
      <c r="O658" s="72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6"/>
    </row>
    <row r="659" spans="1:57" s="48" customFormat="1" x14ac:dyDescent="0.2">
      <c r="A659" s="698"/>
      <c r="B659" s="648"/>
      <c r="C659" s="499"/>
      <c r="D659" s="470">
        <v>2019</v>
      </c>
      <c r="E659" s="567">
        <f t="shared" ref="E659:J665" si="304">E666</f>
        <v>1.4332</v>
      </c>
      <c r="F659" s="567">
        <f t="shared" si="304"/>
        <v>0</v>
      </c>
      <c r="G659" s="567">
        <f t="shared" si="304"/>
        <v>0</v>
      </c>
      <c r="H659" s="567">
        <f t="shared" si="304"/>
        <v>0</v>
      </c>
      <c r="I659" s="567">
        <f t="shared" si="304"/>
        <v>1.4332</v>
      </c>
      <c r="J659" s="567">
        <f t="shared" si="304"/>
        <v>0</v>
      </c>
      <c r="K659" s="52">
        <f t="shared" si="298"/>
        <v>1.4332</v>
      </c>
      <c r="L659" s="52"/>
      <c r="M659" s="794"/>
      <c r="N659" s="222"/>
      <c r="O659" s="72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6"/>
    </row>
    <row r="660" spans="1:57" s="48" customFormat="1" x14ac:dyDescent="0.2">
      <c r="A660" s="698"/>
      <c r="B660" s="648"/>
      <c r="C660" s="499"/>
      <c r="D660" s="470">
        <v>2021</v>
      </c>
      <c r="E660" s="567">
        <f t="shared" si="304"/>
        <v>0.2165</v>
      </c>
      <c r="F660" s="567">
        <f t="shared" si="304"/>
        <v>0</v>
      </c>
      <c r="G660" s="567">
        <f t="shared" si="304"/>
        <v>0</v>
      </c>
      <c r="H660" s="567">
        <f t="shared" si="304"/>
        <v>0</v>
      </c>
      <c r="I660" s="567">
        <f t="shared" si="304"/>
        <v>0.2165</v>
      </c>
      <c r="J660" s="567">
        <f t="shared" si="304"/>
        <v>0</v>
      </c>
      <c r="K660" s="52">
        <f t="shared" si="298"/>
        <v>0.2165</v>
      </c>
      <c r="L660" s="52"/>
      <c r="M660" s="794"/>
      <c r="N660" s="222"/>
      <c r="O660" s="72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6"/>
    </row>
    <row r="661" spans="1:57" s="48" customFormat="1" x14ac:dyDescent="0.2">
      <c r="A661" s="698"/>
      <c r="B661" s="648"/>
      <c r="C661" s="499"/>
      <c r="D661" s="470">
        <v>2022</v>
      </c>
      <c r="E661" s="567">
        <f t="shared" si="304"/>
        <v>0.68030000000000002</v>
      </c>
      <c r="F661" s="567">
        <f t="shared" si="304"/>
        <v>0</v>
      </c>
      <c r="G661" s="567">
        <f t="shared" si="304"/>
        <v>0</v>
      </c>
      <c r="H661" s="567">
        <f t="shared" si="304"/>
        <v>0</v>
      </c>
      <c r="I661" s="567">
        <f t="shared" si="304"/>
        <v>0.68030000000000002</v>
      </c>
      <c r="J661" s="567">
        <f t="shared" si="304"/>
        <v>0</v>
      </c>
      <c r="K661" s="52">
        <f t="shared" si="298"/>
        <v>0.68030000000000002</v>
      </c>
      <c r="L661" s="52"/>
      <c r="M661" s="794"/>
      <c r="N661" s="222"/>
      <c r="O661" s="72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6"/>
    </row>
    <row r="662" spans="1:57" s="48" customFormat="1" x14ac:dyDescent="0.2">
      <c r="A662" s="698"/>
      <c r="B662" s="648"/>
      <c r="C662" s="499"/>
      <c r="D662" s="470">
        <v>2023</v>
      </c>
      <c r="E662" s="567">
        <f t="shared" si="304"/>
        <v>1.3379000000000001</v>
      </c>
      <c r="F662" s="567">
        <f t="shared" si="304"/>
        <v>0</v>
      </c>
      <c r="G662" s="567">
        <f t="shared" si="304"/>
        <v>0</v>
      </c>
      <c r="H662" s="567">
        <f t="shared" si="304"/>
        <v>0</v>
      </c>
      <c r="I662" s="567">
        <f t="shared" si="304"/>
        <v>1.3379000000000001</v>
      </c>
      <c r="J662" s="567">
        <f t="shared" si="304"/>
        <v>0</v>
      </c>
      <c r="K662" s="52">
        <f t="shared" si="298"/>
        <v>1.3379000000000001</v>
      </c>
      <c r="L662" s="52"/>
      <c r="M662" s="794"/>
      <c r="N662" s="222"/>
      <c r="O662" s="72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6"/>
    </row>
    <row r="663" spans="1:57" s="48" customFormat="1" x14ac:dyDescent="0.2">
      <c r="A663" s="698"/>
      <c r="B663" s="648"/>
      <c r="C663" s="499"/>
      <c r="D663" s="470">
        <v>2024</v>
      </c>
      <c r="E663" s="567">
        <f t="shared" si="304"/>
        <v>1.3379000000000001</v>
      </c>
      <c r="F663" s="567">
        <f t="shared" si="304"/>
        <v>0</v>
      </c>
      <c r="G663" s="567">
        <f t="shared" si="304"/>
        <v>0</v>
      </c>
      <c r="H663" s="567">
        <f t="shared" si="304"/>
        <v>0</v>
      </c>
      <c r="I663" s="567">
        <f t="shared" si="304"/>
        <v>1.3379000000000001</v>
      </c>
      <c r="J663" s="567">
        <f t="shared" ref="J663:J664" si="305">J673</f>
        <v>0</v>
      </c>
      <c r="K663" s="52">
        <f t="shared" si="298"/>
        <v>1.3379000000000001</v>
      </c>
      <c r="L663" s="52"/>
      <c r="M663" s="794"/>
      <c r="N663" s="222"/>
      <c r="O663" s="72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6"/>
    </row>
    <row r="664" spans="1:57" s="48" customFormat="1" x14ac:dyDescent="0.2">
      <c r="A664" s="698"/>
      <c r="B664" s="648"/>
      <c r="C664" s="499"/>
      <c r="D664" s="470">
        <v>2025</v>
      </c>
      <c r="E664" s="567">
        <f t="shared" si="304"/>
        <v>1.3379000000000001</v>
      </c>
      <c r="F664" s="567">
        <f t="shared" si="304"/>
        <v>0</v>
      </c>
      <c r="G664" s="567">
        <f t="shared" si="304"/>
        <v>0</v>
      </c>
      <c r="H664" s="567">
        <f t="shared" si="304"/>
        <v>0</v>
      </c>
      <c r="I664" s="567">
        <f t="shared" si="304"/>
        <v>1.3379000000000001</v>
      </c>
      <c r="J664" s="567">
        <f t="shared" si="305"/>
        <v>0</v>
      </c>
      <c r="K664" s="52">
        <f t="shared" si="298"/>
        <v>1.3379000000000001</v>
      </c>
      <c r="L664" s="52"/>
      <c r="M664" s="794"/>
      <c r="N664" s="222"/>
      <c r="O664" s="72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6"/>
    </row>
    <row r="665" spans="1:57" s="48" customFormat="1" ht="24.75" customHeight="1" x14ac:dyDescent="0.2">
      <c r="A665" s="699"/>
      <c r="B665" s="632"/>
      <c r="C665" s="499"/>
      <c r="D665" s="470">
        <v>2026</v>
      </c>
      <c r="E665" s="567">
        <f t="shared" si="304"/>
        <v>1.3379000000000001</v>
      </c>
      <c r="F665" s="567">
        <f t="shared" si="304"/>
        <v>0</v>
      </c>
      <c r="G665" s="567">
        <f t="shared" si="304"/>
        <v>0</v>
      </c>
      <c r="H665" s="567">
        <f t="shared" si="304"/>
        <v>0</v>
      </c>
      <c r="I665" s="567">
        <f t="shared" si="304"/>
        <v>1.3379000000000001</v>
      </c>
      <c r="J665" s="567">
        <f t="shared" si="304"/>
        <v>0</v>
      </c>
      <c r="K665" s="52">
        <f t="shared" si="298"/>
        <v>1.3379000000000001</v>
      </c>
      <c r="L665" s="52"/>
      <c r="M665" s="794"/>
      <c r="N665" s="222"/>
      <c r="O665" s="72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6"/>
    </row>
    <row r="666" spans="1:57" s="48" customFormat="1" x14ac:dyDescent="0.2">
      <c r="A666" s="497" t="s">
        <v>1030</v>
      </c>
      <c r="B666" s="473" t="s">
        <v>460</v>
      </c>
      <c r="C666" s="499"/>
      <c r="D666" s="470">
        <v>2019</v>
      </c>
      <c r="E666" s="567">
        <f>F666+G666+H666+I666+J666</f>
        <v>1.4332</v>
      </c>
      <c r="F666" s="567">
        <v>0</v>
      </c>
      <c r="G666" s="567">
        <v>0</v>
      </c>
      <c r="H666" s="567">
        <v>0</v>
      </c>
      <c r="I666" s="567">
        <v>1.4332</v>
      </c>
      <c r="J666" s="567">
        <v>0</v>
      </c>
      <c r="K666" s="52">
        <f t="shared" si="298"/>
        <v>1.4332</v>
      </c>
      <c r="L666" s="52"/>
      <c r="M666" s="794"/>
      <c r="N666" s="222"/>
      <c r="O666" s="72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6"/>
    </row>
    <row r="667" spans="1:57" s="48" customFormat="1" x14ac:dyDescent="0.2">
      <c r="A667" s="497" t="s">
        <v>1031</v>
      </c>
      <c r="B667" s="473" t="s">
        <v>461</v>
      </c>
      <c r="C667" s="499"/>
      <c r="D667" s="470">
        <v>2021</v>
      </c>
      <c r="E667" s="567">
        <f>F667+G667+H667+I667+J667</f>
        <v>0.2165</v>
      </c>
      <c r="F667" s="567">
        <v>0</v>
      </c>
      <c r="G667" s="567">
        <v>0</v>
      </c>
      <c r="H667" s="567">
        <v>0</v>
      </c>
      <c r="I667" s="567">
        <v>0.2165</v>
      </c>
      <c r="J667" s="567">
        <v>0</v>
      </c>
      <c r="K667" s="52">
        <f t="shared" si="298"/>
        <v>0.2165</v>
      </c>
      <c r="L667" s="52"/>
      <c r="M667" s="794"/>
      <c r="N667" s="222"/>
      <c r="O667" s="72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6"/>
    </row>
    <row r="668" spans="1:57" s="48" customFormat="1" ht="38.25" x14ac:dyDescent="0.2">
      <c r="A668" s="484" t="s">
        <v>1032</v>
      </c>
      <c r="B668" s="490" t="s">
        <v>462</v>
      </c>
      <c r="C668" s="499"/>
      <c r="D668" s="470">
        <v>2022</v>
      </c>
      <c r="E668" s="567">
        <f t="shared" ref="E668:E672" si="306">F668+G668+H668+I668+J668</f>
        <v>0.68030000000000002</v>
      </c>
      <c r="F668" s="567">
        <v>0</v>
      </c>
      <c r="G668" s="567">
        <v>0</v>
      </c>
      <c r="H668" s="567">
        <v>0</v>
      </c>
      <c r="I668" s="567">
        <v>0.68030000000000002</v>
      </c>
      <c r="J668" s="567">
        <v>0</v>
      </c>
      <c r="K668" s="52">
        <f t="shared" si="298"/>
        <v>0.68030000000000002</v>
      </c>
      <c r="L668" s="52"/>
      <c r="M668" s="794"/>
      <c r="N668" s="222"/>
      <c r="O668" s="72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6"/>
    </row>
    <row r="669" spans="1:57" s="48" customFormat="1" x14ac:dyDescent="0.2">
      <c r="A669" s="697" t="s">
        <v>1033</v>
      </c>
      <c r="B669" s="631" t="s">
        <v>463</v>
      </c>
      <c r="C669" s="499"/>
      <c r="D669" s="470">
        <v>2023</v>
      </c>
      <c r="E669" s="567">
        <f t="shared" si="306"/>
        <v>1.3379000000000001</v>
      </c>
      <c r="F669" s="567">
        <v>0</v>
      </c>
      <c r="G669" s="567">
        <v>0</v>
      </c>
      <c r="H669" s="567">
        <v>0</v>
      </c>
      <c r="I669" s="567">
        <v>1.3379000000000001</v>
      </c>
      <c r="J669" s="567">
        <v>0</v>
      </c>
      <c r="K669" s="52">
        <f t="shared" si="298"/>
        <v>1.3379000000000001</v>
      </c>
      <c r="L669" s="52"/>
      <c r="M669" s="794"/>
      <c r="N669" s="222"/>
      <c r="O669" s="72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6"/>
    </row>
    <row r="670" spans="1:57" s="48" customFormat="1" x14ac:dyDescent="0.2">
      <c r="A670" s="698"/>
      <c r="B670" s="648"/>
      <c r="C670" s="499"/>
      <c r="D670" s="470">
        <v>2024</v>
      </c>
      <c r="E670" s="567">
        <f t="shared" si="306"/>
        <v>1.3379000000000001</v>
      </c>
      <c r="F670" s="567">
        <v>0</v>
      </c>
      <c r="G670" s="567">
        <v>0</v>
      </c>
      <c r="H670" s="567">
        <v>0</v>
      </c>
      <c r="I670" s="567">
        <v>1.3379000000000001</v>
      </c>
      <c r="J670" s="567">
        <v>0</v>
      </c>
      <c r="K670" s="52">
        <f t="shared" si="298"/>
        <v>1.3379000000000001</v>
      </c>
      <c r="L670" s="52"/>
      <c r="M670" s="794"/>
      <c r="N670" s="222"/>
      <c r="O670" s="72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6"/>
    </row>
    <row r="671" spans="1:57" s="48" customFormat="1" x14ac:dyDescent="0.2">
      <c r="A671" s="698"/>
      <c r="B671" s="648"/>
      <c r="C671" s="499"/>
      <c r="D671" s="470">
        <v>2025</v>
      </c>
      <c r="E671" s="567">
        <f t="shared" si="306"/>
        <v>1.3379000000000001</v>
      </c>
      <c r="F671" s="567">
        <v>0</v>
      </c>
      <c r="G671" s="567">
        <v>0</v>
      </c>
      <c r="H671" s="567">
        <v>0</v>
      </c>
      <c r="I671" s="567">
        <v>1.3379000000000001</v>
      </c>
      <c r="J671" s="567">
        <v>0</v>
      </c>
      <c r="K671" s="52">
        <f t="shared" si="298"/>
        <v>1.3379000000000001</v>
      </c>
      <c r="L671" s="52"/>
      <c r="M671" s="794"/>
      <c r="N671" s="222"/>
      <c r="O671" s="72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6"/>
    </row>
    <row r="672" spans="1:57" s="48" customFormat="1" x14ac:dyDescent="0.2">
      <c r="A672" s="698"/>
      <c r="B672" s="648"/>
      <c r="C672" s="499"/>
      <c r="D672" s="470">
        <v>2026</v>
      </c>
      <c r="E672" s="567">
        <f t="shared" si="306"/>
        <v>1.3379000000000001</v>
      </c>
      <c r="F672" s="567">
        <v>0</v>
      </c>
      <c r="G672" s="567">
        <v>0</v>
      </c>
      <c r="H672" s="567">
        <v>0</v>
      </c>
      <c r="I672" s="567">
        <v>1.3379000000000001</v>
      </c>
      <c r="J672" s="567">
        <v>0</v>
      </c>
      <c r="K672" s="52">
        <f t="shared" si="298"/>
        <v>1.3379000000000001</v>
      </c>
      <c r="L672" s="52"/>
      <c r="M672" s="794"/>
      <c r="N672" s="222"/>
      <c r="O672" s="72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6"/>
    </row>
    <row r="673" spans="1:57" s="48" customFormat="1" x14ac:dyDescent="0.2">
      <c r="A673" s="484" t="s">
        <v>1034</v>
      </c>
      <c r="B673" s="490" t="s">
        <v>464</v>
      </c>
      <c r="C673" s="499"/>
      <c r="D673" s="46" t="s">
        <v>198</v>
      </c>
      <c r="E673" s="47">
        <f>E674</f>
        <v>0.28520000000000001</v>
      </c>
      <c r="F673" s="47">
        <f t="shared" ref="F673:J673" si="307">F674</f>
        <v>0</v>
      </c>
      <c r="G673" s="47">
        <f t="shared" si="307"/>
        <v>0</v>
      </c>
      <c r="H673" s="47">
        <f t="shared" si="307"/>
        <v>0</v>
      </c>
      <c r="I673" s="47">
        <f t="shared" si="307"/>
        <v>0.28520000000000001</v>
      </c>
      <c r="J673" s="47">
        <f t="shared" si="307"/>
        <v>0</v>
      </c>
      <c r="K673" s="52">
        <f t="shared" si="298"/>
        <v>0.28520000000000001</v>
      </c>
      <c r="L673" s="52"/>
      <c r="M673" s="794"/>
      <c r="N673" s="222"/>
      <c r="O673" s="72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6"/>
    </row>
    <row r="674" spans="1:57" s="48" customFormat="1" ht="17.25" customHeight="1" x14ac:dyDescent="0.2">
      <c r="A674" s="484" t="s">
        <v>1035</v>
      </c>
      <c r="B674" s="490" t="s">
        <v>465</v>
      </c>
      <c r="C674" s="499"/>
      <c r="D674" s="470">
        <v>2022</v>
      </c>
      <c r="E674" s="567">
        <f>F674+G674+H674+I674+J674</f>
        <v>0.28520000000000001</v>
      </c>
      <c r="F674" s="567">
        <v>0</v>
      </c>
      <c r="G674" s="567">
        <v>0</v>
      </c>
      <c r="H674" s="567">
        <v>0</v>
      </c>
      <c r="I674" s="567">
        <v>0.28520000000000001</v>
      </c>
      <c r="J674" s="567">
        <v>0</v>
      </c>
      <c r="K674" s="52">
        <f t="shared" si="298"/>
        <v>0.28520000000000001</v>
      </c>
      <c r="L674" s="52"/>
      <c r="M674" s="794"/>
      <c r="N674" s="222"/>
      <c r="O674" s="72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6"/>
    </row>
    <row r="675" spans="1:57" s="48" customFormat="1" ht="18.75" customHeight="1" x14ac:dyDescent="0.2">
      <c r="A675" s="484" t="s">
        <v>1036</v>
      </c>
      <c r="B675" s="490" t="s">
        <v>466</v>
      </c>
      <c r="C675" s="499"/>
      <c r="D675" s="46" t="s">
        <v>198</v>
      </c>
      <c r="E675" s="47">
        <f>E676</f>
        <v>0.25340000000000001</v>
      </c>
      <c r="F675" s="47">
        <f t="shared" ref="F675:J675" si="308">F676</f>
        <v>0</v>
      </c>
      <c r="G675" s="47">
        <f t="shared" si="308"/>
        <v>0</v>
      </c>
      <c r="H675" s="47">
        <f t="shared" si="308"/>
        <v>0</v>
      </c>
      <c r="I675" s="47">
        <f t="shared" si="308"/>
        <v>0.25340000000000001</v>
      </c>
      <c r="J675" s="47">
        <f t="shared" si="308"/>
        <v>0</v>
      </c>
      <c r="K675" s="52">
        <f t="shared" si="298"/>
        <v>0.25340000000000001</v>
      </c>
      <c r="L675" s="52"/>
      <c r="M675" s="794"/>
      <c r="N675" s="222"/>
      <c r="O675" s="72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6"/>
    </row>
    <row r="676" spans="1:57" s="48" customFormat="1" ht="22.5" customHeight="1" x14ac:dyDescent="0.2">
      <c r="A676" s="484" t="s">
        <v>1037</v>
      </c>
      <c r="B676" s="490" t="s">
        <v>465</v>
      </c>
      <c r="C676" s="500"/>
      <c r="D676" s="470">
        <v>2019</v>
      </c>
      <c r="E676" s="567">
        <f>F676+G676+H676+I676+J676</f>
        <v>0.25340000000000001</v>
      </c>
      <c r="F676" s="567">
        <v>0</v>
      </c>
      <c r="G676" s="567">
        <v>0</v>
      </c>
      <c r="H676" s="567">
        <v>0</v>
      </c>
      <c r="I676" s="567">
        <v>0.25340000000000001</v>
      </c>
      <c r="J676" s="567">
        <v>0</v>
      </c>
      <c r="K676" s="52">
        <f t="shared" si="298"/>
        <v>0.25340000000000001</v>
      </c>
      <c r="L676" s="52"/>
      <c r="M676" s="795"/>
      <c r="N676" s="222"/>
      <c r="O676" s="726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6"/>
    </row>
    <row r="677" spans="1:57" s="48" customFormat="1" x14ac:dyDescent="0.2">
      <c r="A677" s="697" t="s">
        <v>1038</v>
      </c>
      <c r="B677" s="631" t="s">
        <v>594</v>
      </c>
      <c r="C677" s="631" t="s">
        <v>393</v>
      </c>
      <c r="D677" s="46" t="s">
        <v>198</v>
      </c>
      <c r="E677" s="47">
        <f>E678</f>
        <v>1.5</v>
      </c>
      <c r="F677" s="47">
        <f t="shared" ref="F677:J677" si="309">F678</f>
        <v>0</v>
      </c>
      <c r="G677" s="47">
        <f t="shared" si="309"/>
        <v>0</v>
      </c>
      <c r="H677" s="47">
        <f t="shared" si="309"/>
        <v>1.425</v>
      </c>
      <c r="I677" s="47">
        <f t="shared" si="309"/>
        <v>0</v>
      </c>
      <c r="J677" s="47">
        <f t="shared" si="309"/>
        <v>7.4999999999999997E-2</v>
      </c>
      <c r="K677" s="52">
        <f t="shared" si="298"/>
        <v>1.5</v>
      </c>
      <c r="L677" s="52"/>
      <c r="M677" s="50"/>
      <c r="N677" s="222"/>
      <c r="O677" s="631" t="s">
        <v>577</v>
      </c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6"/>
    </row>
    <row r="678" spans="1:57" s="48" customFormat="1" ht="46.5" customHeight="1" x14ac:dyDescent="0.2">
      <c r="A678" s="698"/>
      <c r="B678" s="648"/>
      <c r="C678" s="702"/>
      <c r="D678" s="470">
        <v>2023</v>
      </c>
      <c r="E678" s="567">
        <f>F678+G678+H678+I678+J678</f>
        <v>1.5</v>
      </c>
      <c r="F678" s="567">
        <v>0</v>
      </c>
      <c r="G678" s="567">
        <v>0</v>
      </c>
      <c r="H678" s="567">
        <v>1.425</v>
      </c>
      <c r="I678" s="567">
        <v>0</v>
      </c>
      <c r="J678" s="567">
        <v>7.4999999999999997E-2</v>
      </c>
      <c r="K678" s="52">
        <f t="shared" si="298"/>
        <v>1.5</v>
      </c>
      <c r="L678" s="52"/>
      <c r="M678" s="50"/>
      <c r="N678" s="222"/>
      <c r="O678" s="632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6"/>
    </row>
    <row r="679" spans="1:57" s="48" customFormat="1" ht="12.75" customHeight="1" x14ac:dyDescent="0.2">
      <c r="A679" s="697" t="s">
        <v>850</v>
      </c>
      <c r="B679" s="746" t="s">
        <v>467</v>
      </c>
      <c r="C679" s="746" t="s">
        <v>399</v>
      </c>
      <c r="D679" s="46" t="s">
        <v>198</v>
      </c>
      <c r="E679" s="47">
        <f>E680+E681+E682+E683+E684+E685</f>
        <v>546.70360000000005</v>
      </c>
      <c r="F679" s="47">
        <f t="shared" ref="F679:J679" si="310">F680+F681+F682+F683+F684+F685</f>
        <v>0</v>
      </c>
      <c r="G679" s="47">
        <f t="shared" si="310"/>
        <v>0</v>
      </c>
      <c r="H679" s="47">
        <f>H680+H681+H682+H683+H684+H685</f>
        <v>531.51620000000003</v>
      </c>
      <c r="I679" s="47">
        <f t="shared" si="310"/>
        <v>0</v>
      </c>
      <c r="J679" s="47">
        <f t="shared" si="310"/>
        <v>15.1874</v>
      </c>
      <c r="K679" s="52">
        <f t="shared" si="298"/>
        <v>546.70360000000005</v>
      </c>
      <c r="L679" s="52"/>
      <c r="M679" s="50"/>
      <c r="N679" s="51"/>
      <c r="O679" s="788" t="s">
        <v>226</v>
      </c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6"/>
    </row>
    <row r="680" spans="1:57" s="48" customFormat="1" x14ac:dyDescent="0.2">
      <c r="A680" s="698"/>
      <c r="B680" s="747"/>
      <c r="C680" s="747"/>
      <c r="D680" s="470">
        <v>2019</v>
      </c>
      <c r="E680" s="567">
        <f t="shared" ref="E680:E692" si="311">F680+G680+H680+I680+J680</f>
        <v>499.49900000000002</v>
      </c>
      <c r="F680" s="567">
        <v>0</v>
      </c>
      <c r="G680" s="567">
        <v>0</v>
      </c>
      <c r="H680" s="567">
        <v>484.50920000000002</v>
      </c>
      <c r="I680" s="567">
        <v>0</v>
      </c>
      <c r="J680" s="567">
        <v>14.989800000000001</v>
      </c>
      <c r="K680" s="52">
        <f t="shared" si="298"/>
        <v>499.49900000000002</v>
      </c>
      <c r="L680" s="52"/>
      <c r="M680" s="50"/>
      <c r="N680" s="51"/>
      <c r="O680" s="789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6"/>
    </row>
    <row r="681" spans="1:57" s="48" customFormat="1" x14ac:dyDescent="0.2">
      <c r="A681" s="698"/>
      <c r="B681" s="747"/>
      <c r="C681" s="747"/>
      <c r="D681" s="470">
        <v>2020</v>
      </c>
      <c r="E681" s="567">
        <f t="shared" si="311"/>
        <v>4.9539999999999997</v>
      </c>
      <c r="F681" s="567">
        <v>0</v>
      </c>
      <c r="G681" s="567">
        <v>0</v>
      </c>
      <c r="H681" s="567">
        <v>4.9539999999999997</v>
      </c>
      <c r="I681" s="567">
        <v>0</v>
      </c>
      <c r="J681" s="567">
        <v>0</v>
      </c>
      <c r="K681" s="52">
        <f t="shared" si="298"/>
        <v>4.9539999999999997</v>
      </c>
      <c r="L681" s="52"/>
      <c r="M681" s="50"/>
      <c r="N681" s="51"/>
      <c r="O681" s="789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6"/>
    </row>
    <row r="682" spans="1:57" s="48" customFormat="1" x14ac:dyDescent="0.2">
      <c r="A682" s="698"/>
      <c r="B682" s="747"/>
      <c r="C682" s="747"/>
      <c r="D682" s="470">
        <v>2021</v>
      </c>
      <c r="E682" s="567">
        <f t="shared" si="311"/>
        <v>0</v>
      </c>
      <c r="F682" s="567">
        <v>0</v>
      </c>
      <c r="G682" s="567">
        <v>0</v>
      </c>
      <c r="H682" s="567">
        <v>0</v>
      </c>
      <c r="I682" s="567">
        <v>0</v>
      </c>
      <c r="J682" s="567">
        <v>0</v>
      </c>
      <c r="K682" s="52">
        <f t="shared" si="298"/>
        <v>0</v>
      </c>
      <c r="L682" s="52"/>
      <c r="M682" s="50"/>
      <c r="N682" s="51"/>
      <c r="O682" s="789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6"/>
    </row>
    <row r="683" spans="1:57" s="48" customFormat="1" x14ac:dyDescent="0.2">
      <c r="A683" s="698"/>
      <c r="B683" s="747"/>
      <c r="C683" s="747"/>
      <c r="D683" s="470">
        <v>2022</v>
      </c>
      <c r="E683" s="567">
        <f t="shared" si="311"/>
        <v>0</v>
      </c>
      <c r="F683" s="567">
        <v>0</v>
      </c>
      <c r="G683" s="567">
        <v>0</v>
      </c>
      <c r="H683" s="567">
        <v>0</v>
      </c>
      <c r="I683" s="567">
        <v>0</v>
      </c>
      <c r="J683" s="567">
        <v>0</v>
      </c>
      <c r="K683" s="52">
        <f t="shared" si="298"/>
        <v>0</v>
      </c>
      <c r="L683" s="52"/>
      <c r="M683" s="50"/>
      <c r="N683" s="51"/>
      <c r="O683" s="789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6"/>
    </row>
    <row r="684" spans="1:57" s="48" customFormat="1" x14ac:dyDescent="0.2">
      <c r="A684" s="698"/>
      <c r="B684" s="747"/>
      <c r="C684" s="747"/>
      <c r="D684" s="470">
        <v>2023</v>
      </c>
      <c r="E684" s="567">
        <f t="shared" si="311"/>
        <v>0</v>
      </c>
      <c r="F684" s="567">
        <v>0</v>
      </c>
      <c r="G684" s="567">
        <v>0</v>
      </c>
      <c r="H684" s="567">
        <v>0</v>
      </c>
      <c r="I684" s="567">
        <v>0</v>
      </c>
      <c r="J684" s="567">
        <v>0</v>
      </c>
      <c r="K684" s="52">
        <f t="shared" si="298"/>
        <v>0</v>
      </c>
      <c r="L684" s="52"/>
      <c r="M684" s="50"/>
      <c r="N684" s="51"/>
      <c r="O684" s="789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6"/>
    </row>
    <row r="685" spans="1:57" s="48" customFormat="1" x14ac:dyDescent="0.2">
      <c r="A685" s="699"/>
      <c r="B685" s="748"/>
      <c r="C685" s="748"/>
      <c r="D685" s="470">
        <v>2024</v>
      </c>
      <c r="E685" s="567">
        <f t="shared" si="311"/>
        <v>42.250599999999999</v>
      </c>
      <c r="F685" s="567">
        <v>0</v>
      </c>
      <c r="G685" s="567">
        <v>0</v>
      </c>
      <c r="H685" s="567">
        <v>42.052999999999997</v>
      </c>
      <c r="I685" s="567">
        <v>0</v>
      </c>
      <c r="J685" s="567">
        <v>0.1976</v>
      </c>
      <c r="K685" s="52">
        <f t="shared" si="298"/>
        <v>42.250599999999999</v>
      </c>
      <c r="L685" s="52"/>
      <c r="M685" s="50"/>
      <c r="N685" s="51"/>
      <c r="O685" s="790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6"/>
    </row>
    <row r="686" spans="1:57" s="48" customFormat="1" x14ac:dyDescent="0.2">
      <c r="A686" s="697" t="s">
        <v>676</v>
      </c>
      <c r="B686" s="631" t="s">
        <v>468</v>
      </c>
      <c r="C686" s="746" t="s">
        <v>400</v>
      </c>
      <c r="D686" s="46" t="s">
        <v>198</v>
      </c>
      <c r="E686" s="47">
        <f>E687+E688+E689+E690+E691+E692</f>
        <v>17.276</v>
      </c>
      <c r="F686" s="47">
        <f t="shared" ref="F686:J686" si="312">F687+F688+F689+F690+F691+F692</f>
        <v>0</v>
      </c>
      <c r="G686" s="47">
        <f t="shared" si="312"/>
        <v>0</v>
      </c>
      <c r="H686" s="47">
        <f t="shared" si="312"/>
        <v>16.757999999999999</v>
      </c>
      <c r="I686" s="47">
        <f t="shared" si="312"/>
        <v>0</v>
      </c>
      <c r="J686" s="47">
        <f t="shared" si="312"/>
        <v>0.51800000000000002</v>
      </c>
      <c r="K686" s="52">
        <f t="shared" si="298"/>
        <v>17.276</v>
      </c>
      <c r="L686" s="52"/>
      <c r="M686" s="50"/>
      <c r="N686" s="51"/>
      <c r="O686" s="746" t="s">
        <v>228</v>
      </c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6"/>
    </row>
    <row r="687" spans="1:57" s="48" customFormat="1" x14ac:dyDescent="0.2">
      <c r="A687" s="671"/>
      <c r="B687" s="701"/>
      <c r="C687" s="701"/>
      <c r="D687" s="470">
        <v>2019</v>
      </c>
      <c r="E687" s="567">
        <f>F687+G687+H687+I687+J687</f>
        <v>17.276</v>
      </c>
      <c r="F687" s="567">
        <v>0</v>
      </c>
      <c r="G687" s="567">
        <v>0</v>
      </c>
      <c r="H687" s="567">
        <v>16.757999999999999</v>
      </c>
      <c r="I687" s="567">
        <v>0</v>
      </c>
      <c r="J687" s="567">
        <v>0.51800000000000002</v>
      </c>
      <c r="K687" s="52">
        <f t="shared" si="298"/>
        <v>17.276</v>
      </c>
      <c r="L687" s="52"/>
      <c r="M687" s="50"/>
      <c r="N687" s="51"/>
      <c r="O687" s="701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6"/>
    </row>
    <row r="688" spans="1:57" s="48" customFormat="1" x14ac:dyDescent="0.2">
      <c r="A688" s="671"/>
      <c r="B688" s="701"/>
      <c r="C688" s="701"/>
      <c r="D688" s="485">
        <v>2020</v>
      </c>
      <c r="E688" s="567">
        <f t="shared" si="311"/>
        <v>0</v>
      </c>
      <c r="F688" s="567">
        <v>0</v>
      </c>
      <c r="G688" s="567">
        <v>0</v>
      </c>
      <c r="H688" s="567">
        <v>0</v>
      </c>
      <c r="I688" s="567">
        <v>0</v>
      </c>
      <c r="J688" s="567">
        <v>0</v>
      </c>
      <c r="K688" s="52">
        <f t="shared" si="298"/>
        <v>0</v>
      </c>
      <c r="L688" s="52"/>
      <c r="M688" s="50"/>
      <c r="N688" s="51"/>
      <c r="O688" s="701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6"/>
    </row>
    <row r="689" spans="1:137" s="48" customFormat="1" x14ac:dyDescent="0.2">
      <c r="A689" s="671"/>
      <c r="B689" s="701"/>
      <c r="C689" s="701"/>
      <c r="D689" s="485">
        <v>2021</v>
      </c>
      <c r="E689" s="567">
        <f t="shared" si="311"/>
        <v>0</v>
      </c>
      <c r="F689" s="567">
        <v>0</v>
      </c>
      <c r="G689" s="567">
        <v>0</v>
      </c>
      <c r="H689" s="567">
        <v>0</v>
      </c>
      <c r="I689" s="567">
        <v>0</v>
      </c>
      <c r="J689" s="567">
        <v>0</v>
      </c>
      <c r="K689" s="52">
        <f t="shared" si="298"/>
        <v>0</v>
      </c>
      <c r="L689" s="52"/>
      <c r="M689" s="50"/>
      <c r="N689" s="51"/>
      <c r="O689" s="701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6"/>
    </row>
    <row r="690" spans="1:137" s="48" customFormat="1" x14ac:dyDescent="0.2">
      <c r="A690" s="671"/>
      <c r="B690" s="701"/>
      <c r="C690" s="701"/>
      <c r="D690" s="485">
        <v>2022</v>
      </c>
      <c r="E690" s="567">
        <f t="shared" si="311"/>
        <v>0</v>
      </c>
      <c r="F690" s="567">
        <v>0</v>
      </c>
      <c r="G690" s="567">
        <v>0</v>
      </c>
      <c r="H690" s="567">
        <v>0</v>
      </c>
      <c r="I690" s="567">
        <v>0</v>
      </c>
      <c r="J690" s="567">
        <v>0</v>
      </c>
      <c r="K690" s="52">
        <f t="shared" si="298"/>
        <v>0</v>
      </c>
      <c r="L690" s="52"/>
      <c r="M690" s="50"/>
      <c r="N690" s="51"/>
      <c r="O690" s="701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6"/>
    </row>
    <row r="691" spans="1:137" s="48" customFormat="1" x14ac:dyDescent="0.2">
      <c r="A691" s="671"/>
      <c r="B691" s="701"/>
      <c r="C691" s="701"/>
      <c r="D691" s="485">
        <v>2023</v>
      </c>
      <c r="E691" s="567">
        <f t="shared" si="311"/>
        <v>0</v>
      </c>
      <c r="F691" s="567">
        <v>0</v>
      </c>
      <c r="G691" s="567">
        <v>0</v>
      </c>
      <c r="H691" s="567">
        <v>0</v>
      </c>
      <c r="I691" s="567">
        <v>0</v>
      </c>
      <c r="J691" s="567">
        <v>0</v>
      </c>
      <c r="K691" s="52">
        <f t="shared" si="298"/>
        <v>0</v>
      </c>
      <c r="L691" s="52"/>
      <c r="M691" s="50"/>
      <c r="N691" s="51"/>
      <c r="O691" s="701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6"/>
    </row>
    <row r="692" spans="1:137" s="48" customFormat="1" x14ac:dyDescent="0.2">
      <c r="A692" s="672"/>
      <c r="B692" s="702"/>
      <c r="C692" s="702"/>
      <c r="D692" s="485">
        <v>2024</v>
      </c>
      <c r="E692" s="567">
        <f t="shared" si="311"/>
        <v>0</v>
      </c>
      <c r="F692" s="567">
        <v>0</v>
      </c>
      <c r="G692" s="567">
        <v>0</v>
      </c>
      <c r="H692" s="567">
        <v>0</v>
      </c>
      <c r="I692" s="567">
        <v>0</v>
      </c>
      <c r="J692" s="567">
        <v>0</v>
      </c>
      <c r="K692" s="52">
        <f t="shared" si="298"/>
        <v>0</v>
      </c>
      <c r="L692" s="52"/>
      <c r="M692" s="50"/>
      <c r="N692" s="51"/>
      <c r="O692" s="702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6"/>
    </row>
    <row r="693" spans="1:137" s="48" customFormat="1" x14ac:dyDescent="0.2">
      <c r="A693" s="486"/>
      <c r="B693" s="638" t="s">
        <v>997</v>
      </c>
      <c r="C693" s="638" t="s">
        <v>995</v>
      </c>
      <c r="D693" s="544" t="s">
        <v>198</v>
      </c>
      <c r="E693" s="47">
        <f>E694</f>
        <v>2.8313999999999999</v>
      </c>
      <c r="F693" s="47">
        <f t="shared" ref="F693:J693" si="313">F694</f>
        <v>0</v>
      </c>
      <c r="G693" s="47">
        <f t="shared" si="313"/>
        <v>0</v>
      </c>
      <c r="H693" s="47">
        <f t="shared" si="313"/>
        <v>2.742</v>
      </c>
      <c r="I693" s="47">
        <f t="shared" si="313"/>
        <v>0</v>
      </c>
      <c r="J693" s="47">
        <f t="shared" si="313"/>
        <v>8.9399999999999993E-2</v>
      </c>
      <c r="K693" s="52">
        <f t="shared" si="298"/>
        <v>2.8313999999999999</v>
      </c>
      <c r="L693" s="52"/>
      <c r="M693" s="50"/>
      <c r="N693" s="51"/>
      <c r="O693" s="638" t="s">
        <v>228</v>
      </c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6"/>
    </row>
    <row r="694" spans="1:137" s="48" customFormat="1" ht="18.75" customHeight="1" x14ac:dyDescent="0.2">
      <c r="A694" s="486"/>
      <c r="B694" s="640"/>
      <c r="C694" s="639"/>
      <c r="D694" s="485">
        <v>2019</v>
      </c>
      <c r="E694" s="567">
        <f>F694+G694+H694+I694+J694</f>
        <v>2.8313999999999999</v>
      </c>
      <c r="F694" s="567">
        <v>0</v>
      </c>
      <c r="G694" s="567">
        <v>0</v>
      </c>
      <c r="H694" s="567">
        <v>2.742</v>
      </c>
      <c r="I694" s="567">
        <v>0</v>
      </c>
      <c r="J694" s="567">
        <v>8.9399999999999993E-2</v>
      </c>
      <c r="K694" s="52">
        <f t="shared" si="298"/>
        <v>2.8313999999999999</v>
      </c>
      <c r="L694" s="52"/>
      <c r="M694" s="50"/>
      <c r="N694" s="51"/>
      <c r="O694" s="639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6"/>
    </row>
    <row r="695" spans="1:137" s="48" customFormat="1" x14ac:dyDescent="0.2">
      <c r="A695" s="535" t="s">
        <v>1039</v>
      </c>
      <c r="B695" s="638" t="s">
        <v>996</v>
      </c>
      <c r="C695" s="639"/>
      <c r="D695" s="544" t="s">
        <v>198</v>
      </c>
      <c r="E695" s="567">
        <f>E696</f>
        <v>3.5242999999999998</v>
      </c>
      <c r="F695" s="567">
        <f t="shared" ref="F695:J695" si="314">F696</f>
        <v>0</v>
      </c>
      <c r="G695" s="567">
        <f t="shared" si="314"/>
        <v>0</v>
      </c>
      <c r="H695" s="567">
        <f t="shared" si="314"/>
        <v>3.4129999999999998</v>
      </c>
      <c r="I695" s="567">
        <f t="shared" si="314"/>
        <v>0</v>
      </c>
      <c r="J695" s="567">
        <f t="shared" si="314"/>
        <v>0.1113</v>
      </c>
      <c r="K695" s="52">
        <f t="shared" si="298"/>
        <v>3.5242999999999998</v>
      </c>
      <c r="L695" s="52"/>
      <c r="M695" s="50"/>
      <c r="N695" s="51"/>
      <c r="O695" s="639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6"/>
    </row>
    <row r="696" spans="1:137" s="48" customFormat="1" ht="24" customHeight="1" x14ac:dyDescent="0.2">
      <c r="A696" s="486"/>
      <c r="B696" s="640"/>
      <c r="C696" s="639"/>
      <c r="D696" s="485">
        <v>2019</v>
      </c>
      <c r="E696" s="567">
        <f t="shared" ref="E696" si="315">F696+G696+H696+I696+J696</f>
        <v>3.5242999999999998</v>
      </c>
      <c r="F696" s="567">
        <v>0</v>
      </c>
      <c r="G696" s="567">
        <v>0</v>
      </c>
      <c r="H696" s="567">
        <v>3.4129999999999998</v>
      </c>
      <c r="I696" s="567">
        <v>0</v>
      </c>
      <c r="J696" s="567">
        <v>0.1113</v>
      </c>
      <c r="K696" s="52">
        <f t="shared" si="298"/>
        <v>3.5242999999999998</v>
      </c>
      <c r="L696" s="52"/>
      <c r="M696" s="50"/>
      <c r="N696" s="51"/>
      <c r="O696" s="640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6"/>
    </row>
    <row r="697" spans="1:137" s="48" customFormat="1" ht="12.75" customHeight="1" x14ac:dyDescent="0.2">
      <c r="A697" s="697" t="s">
        <v>677</v>
      </c>
      <c r="B697" s="631" t="s">
        <v>804</v>
      </c>
      <c r="C697" s="678" t="s">
        <v>805</v>
      </c>
      <c r="D697" s="544" t="s">
        <v>198</v>
      </c>
      <c r="E697" s="47">
        <f>E698+E699</f>
        <v>5.5</v>
      </c>
      <c r="F697" s="47">
        <f t="shared" ref="F697:J697" si="316">F698+F699</f>
        <v>0</v>
      </c>
      <c r="G697" s="47">
        <f t="shared" si="316"/>
        <v>0</v>
      </c>
      <c r="H697" s="47">
        <f t="shared" si="316"/>
        <v>4.75</v>
      </c>
      <c r="I697" s="47">
        <f t="shared" si="316"/>
        <v>0</v>
      </c>
      <c r="J697" s="47">
        <f t="shared" si="316"/>
        <v>0.75</v>
      </c>
      <c r="K697" s="52">
        <f t="shared" si="298"/>
        <v>5.5</v>
      </c>
      <c r="L697" s="52"/>
      <c r="M697" s="50"/>
      <c r="N697" s="51"/>
      <c r="O697" s="670" t="s">
        <v>232</v>
      </c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6"/>
      <c r="EG697" s="48" t="s">
        <v>894</v>
      </c>
    </row>
    <row r="698" spans="1:137" s="48" customFormat="1" ht="17.25" customHeight="1" x14ac:dyDescent="0.2">
      <c r="A698" s="698"/>
      <c r="B698" s="648"/>
      <c r="C698" s="678"/>
      <c r="D698" s="485">
        <v>2020</v>
      </c>
      <c r="E698" s="567">
        <f>F698+G698+H698+I698+J698</f>
        <v>0.5</v>
      </c>
      <c r="F698" s="567">
        <v>0</v>
      </c>
      <c r="G698" s="567">
        <v>0</v>
      </c>
      <c r="H698" s="567">
        <v>0</v>
      </c>
      <c r="I698" s="567">
        <v>0</v>
      </c>
      <c r="J698" s="567">
        <v>0.5</v>
      </c>
      <c r="K698" s="52">
        <f t="shared" si="298"/>
        <v>0.5</v>
      </c>
      <c r="L698" s="52"/>
      <c r="M698" s="50"/>
      <c r="N698" s="51"/>
      <c r="O698" s="671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6"/>
    </row>
    <row r="699" spans="1:137" s="48" customFormat="1" ht="30.75" customHeight="1" x14ac:dyDescent="0.2">
      <c r="A699" s="698"/>
      <c r="B699" s="648"/>
      <c r="C699" s="678"/>
      <c r="D699" s="485">
        <v>2021</v>
      </c>
      <c r="E699" s="567">
        <f>F699+G699+H699+I699+J699</f>
        <v>5</v>
      </c>
      <c r="F699" s="567">
        <v>0</v>
      </c>
      <c r="G699" s="567">
        <v>0</v>
      </c>
      <c r="H699" s="567">
        <v>4.75</v>
      </c>
      <c r="I699" s="567">
        <v>0</v>
      </c>
      <c r="J699" s="567">
        <v>0.25</v>
      </c>
      <c r="K699" s="52">
        <f t="shared" si="298"/>
        <v>5</v>
      </c>
      <c r="L699" s="52"/>
      <c r="M699" s="50"/>
      <c r="N699" s="51"/>
      <c r="O699" s="671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6"/>
    </row>
    <row r="700" spans="1:137" s="48" customFormat="1" ht="17.25" customHeight="1" x14ac:dyDescent="0.2">
      <c r="A700" s="697" t="s">
        <v>678</v>
      </c>
      <c r="B700" s="631" t="s">
        <v>806</v>
      </c>
      <c r="C700" s="631" t="s">
        <v>805</v>
      </c>
      <c r="D700" s="544" t="s">
        <v>198</v>
      </c>
      <c r="E700" s="47">
        <f>E701+E702+E703+E704</f>
        <v>3.452</v>
      </c>
      <c r="F700" s="47">
        <f t="shared" ref="F700:J700" si="317">F701+F702+F703+F704</f>
        <v>0</v>
      </c>
      <c r="G700" s="47">
        <f t="shared" si="317"/>
        <v>0</v>
      </c>
      <c r="H700" s="47">
        <f t="shared" si="317"/>
        <v>2.375</v>
      </c>
      <c r="I700" s="47">
        <f t="shared" si="317"/>
        <v>0</v>
      </c>
      <c r="J700" s="47">
        <f t="shared" si="317"/>
        <v>1.077</v>
      </c>
      <c r="K700" s="52">
        <f t="shared" si="298"/>
        <v>3.452</v>
      </c>
      <c r="L700" s="52"/>
      <c r="M700" s="50"/>
      <c r="N700" s="51"/>
      <c r="O700" s="671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6"/>
    </row>
    <row r="701" spans="1:137" s="48" customFormat="1" ht="17.25" customHeight="1" x14ac:dyDescent="0.2">
      <c r="A701" s="698"/>
      <c r="B701" s="648"/>
      <c r="C701" s="648"/>
      <c r="D701" s="485">
        <v>2019</v>
      </c>
      <c r="E701" s="567">
        <f>F701+G701+H701+I701+J701</f>
        <v>4.8000000000000001E-2</v>
      </c>
      <c r="F701" s="567">
        <v>0</v>
      </c>
      <c r="G701" s="567">
        <v>0</v>
      </c>
      <c r="H701" s="567">
        <v>0</v>
      </c>
      <c r="I701" s="567">
        <v>0</v>
      </c>
      <c r="J701" s="567">
        <v>4.8000000000000001E-2</v>
      </c>
      <c r="K701" s="52">
        <f t="shared" si="298"/>
        <v>4.8000000000000001E-2</v>
      </c>
      <c r="L701" s="52"/>
      <c r="M701" s="50"/>
      <c r="N701" s="51"/>
      <c r="O701" s="671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6"/>
    </row>
    <row r="702" spans="1:137" s="48" customFormat="1" ht="17.25" customHeight="1" x14ac:dyDescent="0.2">
      <c r="A702" s="698"/>
      <c r="B702" s="648"/>
      <c r="C702" s="648"/>
      <c r="D702" s="485">
        <v>2020</v>
      </c>
      <c r="E702" s="567">
        <f>F702+G702+H702+I702+J702</f>
        <v>0.45200000000000001</v>
      </c>
      <c r="F702" s="567">
        <v>0</v>
      </c>
      <c r="G702" s="567">
        <v>0</v>
      </c>
      <c r="H702" s="567">
        <v>0</v>
      </c>
      <c r="I702" s="567">
        <v>0</v>
      </c>
      <c r="J702" s="567">
        <v>0.45200000000000001</v>
      </c>
      <c r="K702" s="52">
        <f t="shared" si="298"/>
        <v>0.45200000000000001</v>
      </c>
      <c r="L702" s="52"/>
      <c r="M702" s="50"/>
      <c r="N702" s="51"/>
      <c r="O702" s="671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6"/>
    </row>
    <row r="703" spans="1:137" s="48" customFormat="1" ht="17.25" customHeight="1" x14ac:dyDescent="0.2">
      <c r="A703" s="698"/>
      <c r="B703" s="648"/>
      <c r="C703" s="648"/>
      <c r="D703" s="485">
        <v>2021</v>
      </c>
      <c r="E703" s="567">
        <f>F703+G703+H703+I703+J703</f>
        <v>0.45200000000000001</v>
      </c>
      <c r="F703" s="567">
        <v>0</v>
      </c>
      <c r="G703" s="567">
        <v>0</v>
      </c>
      <c r="H703" s="567">
        <v>0</v>
      </c>
      <c r="I703" s="567">
        <v>0</v>
      </c>
      <c r="J703" s="567">
        <v>0.45200000000000001</v>
      </c>
      <c r="K703" s="52">
        <f t="shared" si="298"/>
        <v>0.45200000000000001</v>
      </c>
      <c r="L703" s="52"/>
      <c r="M703" s="50"/>
      <c r="N703" s="51"/>
      <c r="O703" s="671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6"/>
    </row>
    <row r="704" spans="1:137" s="48" customFormat="1" ht="17.25" customHeight="1" x14ac:dyDescent="0.2">
      <c r="A704" s="699"/>
      <c r="B704" s="632"/>
      <c r="C704" s="632"/>
      <c r="D704" s="485">
        <v>2022</v>
      </c>
      <c r="E704" s="567">
        <f>F704+G704+H704+I704+J704</f>
        <v>2.5</v>
      </c>
      <c r="F704" s="567">
        <v>0</v>
      </c>
      <c r="G704" s="567">
        <v>0</v>
      </c>
      <c r="H704" s="567">
        <v>2.375</v>
      </c>
      <c r="I704" s="567">
        <v>0</v>
      </c>
      <c r="J704" s="567">
        <v>0.125</v>
      </c>
      <c r="K704" s="52">
        <f t="shared" si="298"/>
        <v>2.5</v>
      </c>
      <c r="L704" s="52"/>
      <c r="M704" s="50"/>
      <c r="N704" s="51"/>
      <c r="O704" s="672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6"/>
    </row>
    <row r="705" spans="1:57" s="48" customFormat="1" ht="12.75" customHeight="1" x14ac:dyDescent="0.2">
      <c r="A705" s="731" t="s">
        <v>679</v>
      </c>
      <c r="B705" s="649" t="s">
        <v>608</v>
      </c>
      <c r="C705" s="758"/>
      <c r="D705" s="46" t="s">
        <v>198</v>
      </c>
      <c r="E705" s="47">
        <f>E706+E707+E709+E708</f>
        <v>258.58209999999997</v>
      </c>
      <c r="F705" s="47">
        <f t="shared" ref="F705:J705" si="318">F706+F707+F709+F708</f>
        <v>13.2447</v>
      </c>
      <c r="G705" s="47">
        <f t="shared" si="318"/>
        <v>0</v>
      </c>
      <c r="H705" s="47">
        <f t="shared" si="318"/>
        <v>245.16120000000001</v>
      </c>
      <c r="I705" s="47">
        <f t="shared" si="318"/>
        <v>0</v>
      </c>
      <c r="J705" s="47">
        <f t="shared" si="318"/>
        <v>0.1762</v>
      </c>
      <c r="K705" s="52">
        <f t="shared" si="298"/>
        <v>258.58210000000003</v>
      </c>
      <c r="L705" s="52"/>
      <c r="M705" s="50"/>
      <c r="N705" s="51"/>
      <c r="O705" s="49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6"/>
    </row>
    <row r="706" spans="1:57" s="48" customFormat="1" ht="12.75" customHeight="1" x14ac:dyDescent="0.2">
      <c r="A706" s="732"/>
      <c r="B706" s="650"/>
      <c r="C706" s="701"/>
      <c r="D706" s="46">
        <v>2019</v>
      </c>
      <c r="E706" s="47">
        <f>E711+E719+E722</f>
        <v>6.0781999999999998</v>
      </c>
      <c r="F706" s="47">
        <f t="shared" ref="F706:J706" si="319">F711+F719+F722</f>
        <v>0</v>
      </c>
      <c r="G706" s="47">
        <f t="shared" si="319"/>
        <v>0</v>
      </c>
      <c r="H706" s="47">
        <f t="shared" si="319"/>
        <v>6.0495999999999999</v>
      </c>
      <c r="I706" s="47">
        <f t="shared" si="319"/>
        <v>0</v>
      </c>
      <c r="J706" s="47">
        <f t="shared" si="319"/>
        <v>2.86E-2</v>
      </c>
      <c r="K706" s="52">
        <f t="shared" si="298"/>
        <v>6.0781999999999998</v>
      </c>
      <c r="L706" s="52"/>
      <c r="M706" s="50"/>
      <c r="N706" s="51"/>
      <c r="O706" s="49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6"/>
    </row>
    <row r="707" spans="1:57" s="48" customFormat="1" ht="12.75" customHeight="1" x14ac:dyDescent="0.2">
      <c r="A707" s="732"/>
      <c r="B707" s="650"/>
      <c r="C707" s="701"/>
      <c r="D707" s="46">
        <v>2020</v>
      </c>
      <c r="E707" s="47">
        <f>E712+E715+E720+E724</f>
        <v>83.241600000000005</v>
      </c>
      <c r="F707" s="47">
        <f t="shared" ref="F707:J707" si="320">F712+F715+F720+F724</f>
        <v>2.1884000000000001</v>
      </c>
      <c r="G707" s="47">
        <f t="shared" si="320"/>
        <v>0</v>
      </c>
      <c r="H707" s="47">
        <f t="shared" si="320"/>
        <v>80.974599999999995</v>
      </c>
      <c r="I707" s="47">
        <f t="shared" si="320"/>
        <v>0</v>
      </c>
      <c r="J707" s="47">
        <f t="shared" si="320"/>
        <v>7.8600000000000003E-2</v>
      </c>
      <c r="K707" s="52">
        <f t="shared" si="298"/>
        <v>83.241599999999991</v>
      </c>
      <c r="L707" s="52"/>
      <c r="M707" s="50"/>
      <c r="N707" s="51"/>
      <c r="O707" s="49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6"/>
    </row>
    <row r="708" spans="1:57" s="48" customFormat="1" ht="12.75" customHeight="1" x14ac:dyDescent="0.2">
      <c r="A708" s="732"/>
      <c r="B708" s="650"/>
      <c r="C708" s="701"/>
      <c r="D708" s="46">
        <v>2021</v>
      </c>
      <c r="E708" s="47">
        <f>E713+E716+E725</f>
        <v>130.78029999999998</v>
      </c>
      <c r="F708" s="47">
        <f t="shared" ref="F708:J708" si="321">F713+F716+F725</f>
        <v>11.0563</v>
      </c>
      <c r="G708" s="47">
        <f t="shared" si="321"/>
        <v>0</v>
      </c>
      <c r="H708" s="47">
        <f t="shared" si="321"/>
        <v>119.691</v>
      </c>
      <c r="I708" s="47">
        <f t="shared" si="321"/>
        <v>0</v>
      </c>
      <c r="J708" s="47">
        <f t="shared" si="321"/>
        <v>3.3000000000000002E-2</v>
      </c>
      <c r="K708" s="52">
        <f t="shared" si="298"/>
        <v>130.78029999999998</v>
      </c>
      <c r="L708" s="52"/>
      <c r="M708" s="50"/>
      <c r="N708" s="51"/>
      <c r="O708" s="49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6"/>
    </row>
    <row r="709" spans="1:57" s="48" customFormat="1" ht="15.75" customHeight="1" x14ac:dyDescent="0.2">
      <c r="A709" s="733"/>
      <c r="B709" s="651"/>
      <c r="C709" s="702"/>
      <c r="D709" s="46">
        <v>2022</v>
      </c>
      <c r="E709" s="47">
        <f>E717+E726</f>
        <v>38.481999999999999</v>
      </c>
      <c r="F709" s="47">
        <f t="shared" ref="F709:J709" si="322">F717+F726</f>
        <v>0</v>
      </c>
      <c r="G709" s="47">
        <f t="shared" si="322"/>
        <v>0</v>
      </c>
      <c r="H709" s="47">
        <f t="shared" si="322"/>
        <v>38.445999999999998</v>
      </c>
      <c r="I709" s="47">
        <f t="shared" si="322"/>
        <v>0</v>
      </c>
      <c r="J709" s="47">
        <f t="shared" si="322"/>
        <v>3.6000000000000004E-2</v>
      </c>
      <c r="K709" s="52">
        <f t="shared" ref="K709:K770" si="323">F709+G709+H709+I709+J709</f>
        <v>38.481999999999999</v>
      </c>
      <c r="L709" s="52"/>
      <c r="M709" s="50"/>
      <c r="N709" s="51"/>
      <c r="O709" s="62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6"/>
    </row>
    <row r="710" spans="1:57" s="48" customFormat="1" ht="22.5" customHeight="1" x14ac:dyDescent="0.2">
      <c r="A710" s="697" t="s">
        <v>959</v>
      </c>
      <c r="B710" s="631" t="s">
        <v>217</v>
      </c>
      <c r="C710" s="705" t="s">
        <v>401</v>
      </c>
      <c r="D710" s="46" t="s">
        <v>198</v>
      </c>
      <c r="E710" s="47">
        <f>E711+E712+E713</f>
        <v>119.34049999999999</v>
      </c>
      <c r="F710" s="47">
        <f t="shared" ref="F710:J710" si="324">F711+F712+F713</f>
        <v>13.2447</v>
      </c>
      <c r="G710" s="47">
        <f t="shared" si="324"/>
        <v>0</v>
      </c>
      <c r="H710" s="47">
        <f t="shared" si="324"/>
        <v>106.0958</v>
      </c>
      <c r="I710" s="47">
        <f t="shared" si="324"/>
        <v>0</v>
      </c>
      <c r="J710" s="47">
        <f t="shared" si="324"/>
        <v>0</v>
      </c>
      <c r="K710" s="52">
        <f t="shared" si="323"/>
        <v>119.34049999999999</v>
      </c>
      <c r="L710" s="52" t="s">
        <v>477</v>
      </c>
      <c r="M710" s="50"/>
      <c r="N710" s="51"/>
      <c r="O710" s="746" t="s">
        <v>600</v>
      </c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6"/>
    </row>
    <row r="711" spans="1:57" s="48" customFormat="1" ht="15" customHeight="1" x14ac:dyDescent="0.2">
      <c r="A711" s="698"/>
      <c r="B711" s="701"/>
      <c r="C711" s="706"/>
      <c r="D711" s="470">
        <v>2019</v>
      </c>
      <c r="E711" s="567">
        <v>0</v>
      </c>
      <c r="F711" s="567">
        <v>0</v>
      </c>
      <c r="G711" s="567">
        <v>0</v>
      </c>
      <c r="H711" s="567">
        <v>0</v>
      </c>
      <c r="I711" s="567">
        <v>0</v>
      </c>
      <c r="J711" s="567">
        <v>0</v>
      </c>
      <c r="K711" s="52">
        <f t="shared" si="323"/>
        <v>0</v>
      </c>
      <c r="L711" s="53" t="s">
        <v>447</v>
      </c>
      <c r="M711" s="50"/>
      <c r="N711" s="56"/>
      <c r="O711" s="747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6"/>
    </row>
    <row r="712" spans="1:57" s="48" customFormat="1" x14ac:dyDescent="0.2">
      <c r="A712" s="698"/>
      <c r="B712" s="701"/>
      <c r="C712" s="706"/>
      <c r="D712" s="470">
        <v>2020</v>
      </c>
      <c r="E712" s="567">
        <f>F712+H712</f>
        <v>19.005200000000002</v>
      </c>
      <c r="F712" s="567">
        <v>2.1884000000000001</v>
      </c>
      <c r="G712" s="567">
        <v>0</v>
      </c>
      <c r="H712" s="567">
        <v>16.816800000000001</v>
      </c>
      <c r="I712" s="567">
        <v>0</v>
      </c>
      <c r="J712" s="567">
        <v>0</v>
      </c>
      <c r="K712" s="52">
        <f t="shared" si="323"/>
        <v>19.005200000000002</v>
      </c>
      <c r="L712" s="53" t="s">
        <v>447</v>
      </c>
      <c r="M712" s="50"/>
      <c r="N712" s="56"/>
      <c r="O712" s="747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6"/>
    </row>
    <row r="713" spans="1:57" s="48" customFormat="1" ht="58.5" customHeight="1" x14ac:dyDescent="0.2">
      <c r="A713" s="699"/>
      <c r="B713" s="702"/>
      <c r="C713" s="730"/>
      <c r="D713" s="470">
        <v>2021</v>
      </c>
      <c r="E713" s="567">
        <f>F713+H713</f>
        <v>100.33529999999999</v>
      </c>
      <c r="F713" s="567">
        <v>11.0563</v>
      </c>
      <c r="G713" s="567">
        <v>0</v>
      </c>
      <c r="H713" s="567">
        <v>89.278999999999996</v>
      </c>
      <c r="I713" s="567">
        <v>0</v>
      </c>
      <c r="J713" s="567">
        <v>0</v>
      </c>
      <c r="K713" s="52">
        <f t="shared" si="323"/>
        <v>100.33529999999999</v>
      </c>
      <c r="L713" s="53" t="s">
        <v>448</v>
      </c>
      <c r="M713" s="50"/>
      <c r="N713" s="56"/>
      <c r="O713" s="748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6"/>
    </row>
    <row r="714" spans="1:57" s="48" customFormat="1" x14ac:dyDescent="0.2">
      <c r="A714" s="665" t="s">
        <v>680</v>
      </c>
      <c r="B714" s="785" t="s">
        <v>960</v>
      </c>
      <c r="C714" s="638" t="s">
        <v>961</v>
      </c>
      <c r="D714" s="46" t="s">
        <v>198</v>
      </c>
      <c r="E714" s="567">
        <f>E715+E716+E717</f>
        <v>70.13</v>
      </c>
      <c r="F714" s="567">
        <f t="shared" ref="F714:J714" si="325">F715+F716+F717</f>
        <v>0</v>
      </c>
      <c r="G714" s="567">
        <f t="shared" si="325"/>
        <v>0</v>
      </c>
      <c r="H714" s="567">
        <f t="shared" si="325"/>
        <v>70.06</v>
      </c>
      <c r="I714" s="567">
        <f t="shared" si="325"/>
        <v>0</v>
      </c>
      <c r="J714" s="567">
        <f t="shared" si="325"/>
        <v>7.0000000000000007E-2</v>
      </c>
      <c r="K714" s="52">
        <f t="shared" si="323"/>
        <v>70.13</v>
      </c>
      <c r="L714" s="53"/>
      <c r="M714" s="50"/>
      <c r="N714" s="56"/>
      <c r="O714" s="788" t="s">
        <v>233</v>
      </c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6"/>
    </row>
    <row r="715" spans="1:57" s="48" customFormat="1" x14ac:dyDescent="0.2">
      <c r="A715" s="665"/>
      <c r="B715" s="786"/>
      <c r="C715" s="639"/>
      <c r="D715" s="470">
        <v>2020</v>
      </c>
      <c r="E715" s="567">
        <f>F715+G715+H715+I715+J715</f>
        <v>30.61</v>
      </c>
      <c r="F715" s="567">
        <v>0</v>
      </c>
      <c r="G715" s="567">
        <v>0</v>
      </c>
      <c r="H715" s="567">
        <v>30.58</v>
      </c>
      <c r="I715" s="567">
        <v>0</v>
      </c>
      <c r="J715" s="567">
        <v>0.03</v>
      </c>
      <c r="K715" s="52">
        <f t="shared" si="323"/>
        <v>30.61</v>
      </c>
      <c r="L715" s="53"/>
      <c r="M715" s="50"/>
      <c r="N715" s="56"/>
      <c r="O715" s="789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6"/>
    </row>
    <row r="716" spans="1:57" s="48" customFormat="1" x14ac:dyDescent="0.2">
      <c r="A716" s="665"/>
      <c r="B716" s="786"/>
      <c r="C716" s="639"/>
      <c r="D716" s="470">
        <v>2021</v>
      </c>
      <c r="E716" s="567">
        <f t="shared" ref="E716:E720" si="326">F716+G716+H716+I716+J716</f>
        <v>17.02</v>
      </c>
      <c r="F716" s="567">
        <v>0</v>
      </c>
      <c r="G716" s="567">
        <v>0</v>
      </c>
      <c r="H716" s="567">
        <v>17</v>
      </c>
      <c r="I716" s="567">
        <v>0</v>
      </c>
      <c r="J716" s="567">
        <v>0.02</v>
      </c>
      <c r="K716" s="52">
        <f t="shared" si="323"/>
        <v>17.02</v>
      </c>
      <c r="L716" s="53"/>
      <c r="M716" s="50"/>
      <c r="N716" s="56"/>
      <c r="O716" s="789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6"/>
    </row>
    <row r="717" spans="1:57" s="48" customFormat="1" x14ac:dyDescent="0.2">
      <c r="A717" s="665"/>
      <c r="B717" s="787"/>
      <c r="C717" s="639"/>
      <c r="D717" s="470">
        <v>2022</v>
      </c>
      <c r="E717" s="567">
        <f t="shared" si="326"/>
        <v>22.5</v>
      </c>
      <c r="F717" s="567">
        <v>0</v>
      </c>
      <c r="G717" s="567">
        <v>0</v>
      </c>
      <c r="H717" s="567">
        <v>22.48</v>
      </c>
      <c r="I717" s="567">
        <v>0</v>
      </c>
      <c r="J717" s="567">
        <v>0.02</v>
      </c>
      <c r="K717" s="52">
        <f t="shared" si="323"/>
        <v>22.5</v>
      </c>
      <c r="L717" s="53"/>
      <c r="M717" s="50"/>
      <c r="N717" s="56"/>
      <c r="O717" s="790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6"/>
    </row>
    <row r="718" spans="1:57" s="48" customFormat="1" ht="12.75" customHeight="1" x14ac:dyDescent="0.2">
      <c r="A718" s="665" t="s">
        <v>1044</v>
      </c>
      <c r="B718" s="681" t="s">
        <v>1045</v>
      </c>
      <c r="C718" s="639"/>
      <c r="D718" s="46" t="s">
        <v>198</v>
      </c>
      <c r="E718" s="567">
        <f>E719+E720</f>
        <v>4.1509999999999998</v>
      </c>
      <c r="F718" s="567">
        <f t="shared" ref="F718:J718" si="327">F719+F720</f>
        <v>0</v>
      </c>
      <c r="G718" s="567">
        <f t="shared" si="327"/>
        <v>0</v>
      </c>
      <c r="H718" s="567">
        <f t="shared" si="327"/>
        <v>4.1093999999999999</v>
      </c>
      <c r="I718" s="567">
        <f t="shared" si="327"/>
        <v>0</v>
      </c>
      <c r="J718" s="567">
        <f t="shared" si="327"/>
        <v>4.1599999999999998E-2</v>
      </c>
      <c r="K718" s="52">
        <f t="shared" si="323"/>
        <v>4.1509999999999998</v>
      </c>
      <c r="L718" s="53"/>
      <c r="M718" s="50"/>
      <c r="N718" s="56"/>
      <c r="O718" s="788" t="s">
        <v>1110</v>
      </c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6"/>
    </row>
    <row r="719" spans="1:57" s="48" customFormat="1" ht="12.75" customHeight="1" x14ac:dyDescent="0.2">
      <c r="A719" s="665"/>
      <c r="B719" s="681"/>
      <c r="C719" s="639"/>
      <c r="D719" s="470">
        <v>2019</v>
      </c>
      <c r="E719" s="567">
        <f t="shared" si="326"/>
        <v>2.4905999999999997</v>
      </c>
      <c r="F719" s="567">
        <v>0</v>
      </c>
      <c r="G719" s="567">
        <v>0</v>
      </c>
      <c r="H719" s="567">
        <v>2.4655999999999998</v>
      </c>
      <c r="I719" s="567">
        <v>0</v>
      </c>
      <c r="J719" s="567">
        <v>2.5000000000000001E-2</v>
      </c>
      <c r="K719" s="52">
        <f t="shared" si="323"/>
        <v>2.4905999999999997</v>
      </c>
      <c r="L719" s="53"/>
      <c r="M719" s="50"/>
      <c r="N719" s="56"/>
      <c r="O719" s="789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6"/>
    </row>
    <row r="720" spans="1:57" s="48" customFormat="1" x14ac:dyDescent="0.2">
      <c r="A720" s="665"/>
      <c r="B720" s="681"/>
      <c r="C720" s="639"/>
      <c r="D720" s="470">
        <v>2020</v>
      </c>
      <c r="E720" s="567">
        <f t="shared" si="326"/>
        <v>1.6603999999999999</v>
      </c>
      <c r="F720" s="567">
        <v>0</v>
      </c>
      <c r="G720" s="567">
        <v>0</v>
      </c>
      <c r="H720" s="567">
        <v>1.6437999999999999</v>
      </c>
      <c r="I720" s="567">
        <v>0</v>
      </c>
      <c r="J720" s="60">
        <v>1.66E-2</v>
      </c>
      <c r="K720" s="52">
        <f t="shared" si="323"/>
        <v>1.6603999999999999</v>
      </c>
      <c r="L720" s="53"/>
      <c r="M720" s="50"/>
      <c r="N720" s="56"/>
      <c r="O720" s="789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6"/>
    </row>
    <row r="721" spans="1:57" s="48" customFormat="1" ht="18.75" customHeight="1" x14ac:dyDescent="0.2">
      <c r="A721" s="665" t="s">
        <v>1046</v>
      </c>
      <c r="B721" s="638" t="s">
        <v>1047</v>
      </c>
      <c r="C721" s="639"/>
      <c r="D721" s="46" t="s">
        <v>198</v>
      </c>
      <c r="E721" s="567">
        <f>E722</f>
        <v>3.5876000000000001</v>
      </c>
      <c r="F721" s="567">
        <f t="shared" ref="F721:J721" si="328">F722</f>
        <v>0</v>
      </c>
      <c r="G721" s="567">
        <f t="shared" si="328"/>
        <v>0</v>
      </c>
      <c r="H721" s="567">
        <f t="shared" si="328"/>
        <v>3.5840000000000001</v>
      </c>
      <c r="I721" s="567">
        <f t="shared" si="328"/>
        <v>0</v>
      </c>
      <c r="J721" s="567">
        <f t="shared" si="328"/>
        <v>3.5999999999999999E-3</v>
      </c>
      <c r="K721" s="52">
        <f t="shared" si="323"/>
        <v>3.5876000000000001</v>
      </c>
      <c r="L721" s="53"/>
      <c r="M721" s="50"/>
      <c r="N721" s="56"/>
      <c r="O721" s="789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6"/>
    </row>
    <row r="722" spans="1:57" s="48" customFormat="1" ht="32.25" customHeight="1" x14ac:dyDescent="0.2">
      <c r="A722" s="665"/>
      <c r="B722" s="640"/>
      <c r="C722" s="639"/>
      <c r="D722" s="470">
        <v>2019</v>
      </c>
      <c r="E722" s="567">
        <f>F722+G722+H722+I722+J722</f>
        <v>3.5876000000000001</v>
      </c>
      <c r="F722" s="567">
        <v>0</v>
      </c>
      <c r="G722" s="567">
        <v>0</v>
      </c>
      <c r="H722" s="567">
        <v>3.5840000000000001</v>
      </c>
      <c r="I722" s="567">
        <v>0</v>
      </c>
      <c r="J722" s="567">
        <v>3.5999999999999999E-3</v>
      </c>
      <c r="K722" s="52">
        <f t="shared" si="323"/>
        <v>3.5876000000000001</v>
      </c>
      <c r="L722" s="53"/>
      <c r="M722" s="50"/>
      <c r="N722" s="56"/>
      <c r="O722" s="790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6"/>
    </row>
    <row r="723" spans="1:57" s="48" customFormat="1" ht="23.25" customHeight="1" x14ac:dyDescent="0.2">
      <c r="A723" s="697" t="s">
        <v>1058</v>
      </c>
      <c r="B723" s="638" t="s">
        <v>1059</v>
      </c>
      <c r="C723" s="639"/>
      <c r="D723" s="46" t="s">
        <v>198</v>
      </c>
      <c r="E723" s="567">
        <f>E724+E725+E726</f>
        <v>61.373000000000005</v>
      </c>
      <c r="F723" s="567">
        <f t="shared" ref="F723:J723" si="329">F724+F725+F726</f>
        <v>0</v>
      </c>
      <c r="G723" s="567">
        <f t="shared" si="329"/>
        <v>0</v>
      </c>
      <c r="H723" s="567">
        <f t="shared" si="329"/>
        <v>61.312000000000005</v>
      </c>
      <c r="I723" s="567">
        <f t="shared" si="329"/>
        <v>0</v>
      </c>
      <c r="J723" s="567">
        <f t="shared" si="329"/>
        <v>6.0999999999999999E-2</v>
      </c>
      <c r="K723" s="52">
        <f t="shared" si="323"/>
        <v>61.373000000000005</v>
      </c>
      <c r="L723" s="53"/>
      <c r="M723" s="50"/>
      <c r="N723" s="56"/>
      <c r="O723" s="788" t="s">
        <v>1095</v>
      </c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6"/>
    </row>
    <row r="724" spans="1:57" s="48" customFormat="1" x14ac:dyDescent="0.2">
      <c r="A724" s="698"/>
      <c r="B724" s="639"/>
      <c r="C724" s="639"/>
      <c r="D724" s="470">
        <v>2020</v>
      </c>
      <c r="E724" s="567">
        <f>F724+G724+H724+I724+J724</f>
        <v>31.966000000000001</v>
      </c>
      <c r="F724" s="567">
        <v>0</v>
      </c>
      <c r="G724" s="567">
        <v>0</v>
      </c>
      <c r="H724" s="567">
        <v>31.934000000000001</v>
      </c>
      <c r="I724" s="567">
        <v>0</v>
      </c>
      <c r="J724" s="567">
        <v>3.2000000000000001E-2</v>
      </c>
      <c r="K724" s="52">
        <f t="shared" si="323"/>
        <v>31.966000000000001</v>
      </c>
      <c r="L724" s="53"/>
      <c r="M724" s="50"/>
      <c r="N724" s="56"/>
      <c r="O724" s="789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6"/>
    </row>
    <row r="725" spans="1:57" s="48" customFormat="1" x14ac:dyDescent="0.2">
      <c r="A725" s="698"/>
      <c r="B725" s="639"/>
      <c r="C725" s="639"/>
      <c r="D725" s="470">
        <v>2021</v>
      </c>
      <c r="E725" s="567">
        <f t="shared" ref="E725:E726" si="330">F725+G725+H725+I725+J725</f>
        <v>13.425000000000001</v>
      </c>
      <c r="F725" s="567">
        <v>0</v>
      </c>
      <c r="G725" s="567">
        <v>0</v>
      </c>
      <c r="H725" s="567">
        <v>13.412000000000001</v>
      </c>
      <c r="I725" s="567">
        <v>0</v>
      </c>
      <c r="J725" s="567">
        <v>1.2999999999999999E-2</v>
      </c>
      <c r="K725" s="52">
        <f t="shared" si="323"/>
        <v>13.425000000000001</v>
      </c>
      <c r="L725" s="53"/>
      <c r="M725" s="50"/>
      <c r="N725" s="56"/>
      <c r="O725" s="790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6"/>
    </row>
    <row r="726" spans="1:57" s="48" customFormat="1" x14ac:dyDescent="0.2">
      <c r="A726" s="699"/>
      <c r="B726" s="640"/>
      <c r="C726" s="640"/>
      <c r="D726" s="470">
        <v>2022</v>
      </c>
      <c r="E726" s="567">
        <f t="shared" si="330"/>
        <v>15.981999999999999</v>
      </c>
      <c r="F726" s="567">
        <v>0</v>
      </c>
      <c r="G726" s="567">
        <v>0</v>
      </c>
      <c r="H726" s="567">
        <v>15.965999999999999</v>
      </c>
      <c r="I726" s="567">
        <v>0</v>
      </c>
      <c r="J726" s="567">
        <v>1.6E-2</v>
      </c>
      <c r="K726" s="52">
        <f t="shared" si="323"/>
        <v>15.981999999999999</v>
      </c>
      <c r="L726" s="53"/>
      <c r="M726" s="50"/>
      <c r="N726" s="56"/>
      <c r="O726" s="494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6"/>
    </row>
    <row r="727" spans="1:57" s="48" customFormat="1" ht="15" customHeight="1" x14ac:dyDescent="0.2">
      <c r="A727" s="731" t="s">
        <v>681</v>
      </c>
      <c r="B727" s="833" t="s">
        <v>609</v>
      </c>
      <c r="C727" s="524"/>
      <c r="D727" s="46" t="s">
        <v>198</v>
      </c>
      <c r="E727" s="47">
        <f>SUM(E728:E739)</f>
        <v>0.94011130231500806</v>
      </c>
      <c r="F727" s="47">
        <f>SUM(F728:F739)</f>
        <v>0.94011130231500806</v>
      </c>
      <c r="G727" s="47">
        <f t="shared" ref="G727:J727" si="331">SUM(G728:G739)</f>
        <v>0</v>
      </c>
      <c r="H727" s="47">
        <f t="shared" si="331"/>
        <v>0</v>
      </c>
      <c r="I727" s="47">
        <f t="shared" si="331"/>
        <v>0</v>
      </c>
      <c r="J727" s="47">
        <f t="shared" si="331"/>
        <v>0</v>
      </c>
      <c r="K727" s="52">
        <f t="shared" si="323"/>
        <v>0.94011130231500806</v>
      </c>
      <c r="L727" s="53"/>
      <c r="M727" s="50"/>
      <c r="N727" s="56"/>
      <c r="O727" s="521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6"/>
    </row>
    <row r="728" spans="1:57" s="48" customFormat="1" ht="15" customHeight="1" x14ac:dyDescent="0.2">
      <c r="A728" s="782"/>
      <c r="B728" s="834"/>
      <c r="C728" s="499"/>
      <c r="D728" s="46">
        <v>2019</v>
      </c>
      <c r="E728" s="47">
        <f>E741+E754+E755</f>
        <v>2.0999999999999998E-2</v>
      </c>
      <c r="F728" s="47">
        <f>F741+F754+F755</f>
        <v>2.0999999999999998E-2</v>
      </c>
      <c r="G728" s="47">
        <f t="shared" ref="G728:J728" si="332">G741+G754+G755</f>
        <v>0</v>
      </c>
      <c r="H728" s="47">
        <f t="shared" si="332"/>
        <v>0</v>
      </c>
      <c r="I728" s="47">
        <f t="shared" si="332"/>
        <v>0</v>
      </c>
      <c r="J728" s="47">
        <f t="shared" si="332"/>
        <v>0</v>
      </c>
      <c r="K728" s="52">
        <f t="shared" si="323"/>
        <v>2.0999999999999998E-2</v>
      </c>
      <c r="L728" s="53"/>
      <c r="M728" s="50"/>
      <c r="N728" s="56"/>
      <c r="O728" s="521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6"/>
    </row>
    <row r="729" spans="1:57" s="48" customFormat="1" ht="15" customHeight="1" x14ac:dyDescent="0.2">
      <c r="A729" s="782"/>
      <c r="B729" s="834"/>
      <c r="C729" s="509"/>
      <c r="D729" s="46">
        <v>2020</v>
      </c>
      <c r="E729" s="47">
        <f>F729</f>
        <v>5.5E-2</v>
      </c>
      <c r="F729" s="47">
        <f>F742+F757</f>
        <v>5.5E-2</v>
      </c>
      <c r="G729" s="47">
        <v>0</v>
      </c>
      <c r="H729" s="47">
        <v>0</v>
      </c>
      <c r="I729" s="47">
        <v>0</v>
      </c>
      <c r="J729" s="47">
        <v>0</v>
      </c>
      <c r="K729" s="52">
        <f t="shared" si="323"/>
        <v>5.5E-2</v>
      </c>
      <c r="L729" s="53"/>
      <c r="M729" s="50"/>
      <c r="N729" s="56"/>
      <c r="O729" s="521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6"/>
    </row>
    <row r="730" spans="1:57" s="48" customFormat="1" ht="15" customHeight="1" x14ac:dyDescent="0.2">
      <c r="A730" s="782"/>
      <c r="B730" s="834"/>
      <c r="C730" s="499"/>
      <c r="D730" s="46">
        <v>2021</v>
      </c>
      <c r="E730" s="47">
        <f t="shared" ref="E730:E738" si="333">F730</f>
        <v>5.62E-2</v>
      </c>
      <c r="F730" s="47">
        <f>F743+F758</f>
        <v>5.62E-2</v>
      </c>
      <c r="G730" s="47">
        <v>0</v>
      </c>
      <c r="H730" s="47">
        <v>0</v>
      </c>
      <c r="I730" s="47">
        <v>0</v>
      </c>
      <c r="J730" s="47">
        <v>0</v>
      </c>
      <c r="K730" s="52">
        <f t="shared" si="323"/>
        <v>5.62E-2</v>
      </c>
      <c r="L730" s="53"/>
      <c r="M730" s="50"/>
      <c r="N730" s="56"/>
      <c r="O730" s="521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6"/>
    </row>
    <row r="731" spans="1:57" s="48" customFormat="1" ht="15" customHeight="1" x14ac:dyDescent="0.2">
      <c r="A731" s="782"/>
      <c r="B731" s="834"/>
      <c r="C731" s="499"/>
      <c r="D731" s="46">
        <v>2022</v>
      </c>
      <c r="E731" s="47">
        <f t="shared" si="333"/>
        <v>5.7459999999999997E-2</v>
      </c>
      <c r="F731" s="47">
        <f>F744+F759</f>
        <v>5.7459999999999997E-2</v>
      </c>
      <c r="G731" s="47">
        <v>0</v>
      </c>
      <c r="H731" s="47">
        <v>0</v>
      </c>
      <c r="I731" s="47">
        <v>0</v>
      </c>
      <c r="J731" s="47">
        <v>0</v>
      </c>
      <c r="K731" s="52">
        <f t="shared" si="323"/>
        <v>5.7459999999999997E-2</v>
      </c>
      <c r="L731" s="53"/>
      <c r="M731" s="50"/>
      <c r="N731" s="56"/>
      <c r="O731" s="521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6"/>
    </row>
    <row r="732" spans="1:57" s="48" customFormat="1" ht="15" customHeight="1" x14ac:dyDescent="0.2">
      <c r="A732" s="782"/>
      <c r="B732" s="834"/>
      <c r="C732" s="499"/>
      <c r="D732" s="46">
        <v>2023</v>
      </c>
      <c r="E732" s="47">
        <f t="shared" si="333"/>
        <v>8.5000000000000006E-2</v>
      </c>
      <c r="F732" s="47">
        <f>F745+F760</f>
        <v>8.5000000000000006E-2</v>
      </c>
      <c r="G732" s="47">
        <v>0</v>
      </c>
      <c r="H732" s="47">
        <v>0</v>
      </c>
      <c r="I732" s="47">
        <v>0</v>
      </c>
      <c r="J732" s="47">
        <v>0</v>
      </c>
      <c r="K732" s="52">
        <f t="shared" si="323"/>
        <v>8.5000000000000006E-2</v>
      </c>
      <c r="L732" s="53"/>
      <c r="M732" s="50"/>
      <c r="N732" s="56"/>
      <c r="O732" s="521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6"/>
    </row>
    <row r="733" spans="1:57" s="48" customFormat="1" ht="15" customHeight="1" x14ac:dyDescent="0.2">
      <c r="A733" s="782"/>
      <c r="B733" s="834"/>
      <c r="C733" s="499"/>
      <c r="D733" s="46">
        <v>2024</v>
      </c>
      <c r="E733" s="47">
        <f t="shared" si="333"/>
        <v>8.6800000000000002E-2</v>
      </c>
      <c r="F733" s="47">
        <f>F746+F761</f>
        <v>8.6800000000000002E-2</v>
      </c>
      <c r="G733" s="47">
        <v>0</v>
      </c>
      <c r="H733" s="47">
        <v>0</v>
      </c>
      <c r="I733" s="47">
        <v>0</v>
      </c>
      <c r="J733" s="47">
        <v>0</v>
      </c>
      <c r="K733" s="52">
        <f t="shared" si="323"/>
        <v>8.6800000000000002E-2</v>
      </c>
      <c r="L733" s="53"/>
      <c r="M733" s="50"/>
      <c r="N733" s="56"/>
      <c r="O733" s="521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6"/>
    </row>
    <row r="734" spans="1:57" s="48" customFormat="1" ht="15" customHeight="1" x14ac:dyDescent="0.2">
      <c r="A734" s="782"/>
      <c r="B734" s="834"/>
      <c r="C734" s="499"/>
      <c r="D734" s="46">
        <v>2025</v>
      </c>
      <c r="E734" s="47">
        <f t="shared" si="333"/>
        <v>8.8669999999999999E-2</v>
      </c>
      <c r="F734" s="47">
        <f t="shared" ref="F734:F739" si="334">F747+F762</f>
        <v>8.8669999999999999E-2</v>
      </c>
      <c r="G734" s="47">
        <v>0</v>
      </c>
      <c r="H734" s="47">
        <v>0</v>
      </c>
      <c r="I734" s="47">
        <v>0</v>
      </c>
      <c r="J734" s="47">
        <v>0</v>
      </c>
      <c r="K734" s="52">
        <f t="shared" si="323"/>
        <v>8.8669999999999999E-2</v>
      </c>
      <c r="L734" s="53"/>
      <c r="M734" s="50"/>
      <c r="N734" s="56"/>
      <c r="O734" s="521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6"/>
    </row>
    <row r="735" spans="1:57" s="48" customFormat="1" ht="15" customHeight="1" x14ac:dyDescent="0.2">
      <c r="A735" s="782"/>
      <c r="B735" s="834"/>
      <c r="C735" s="499"/>
      <c r="D735" s="46">
        <v>2026</v>
      </c>
      <c r="E735" s="47">
        <f t="shared" si="333"/>
        <v>9.1616799999999998E-2</v>
      </c>
      <c r="F735" s="47">
        <f t="shared" si="334"/>
        <v>9.1616799999999998E-2</v>
      </c>
      <c r="G735" s="47">
        <v>0</v>
      </c>
      <c r="H735" s="47">
        <v>0</v>
      </c>
      <c r="I735" s="47">
        <v>0</v>
      </c>
      <c r="J735" s="47">
        <v>0</v>
      </c>
      <c r="K735" s="52">
        <f t="shared" si="323"/>
        <v>9.1616799999999998E-2</v>
      </c>
      <c r="L735" s="53"/>
      <c r="M735" s="50"/>
      <c r="N735" s="56"/>
      <c r="O735" s="521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6"/>
    </row>
    <row r="736" spans="1:57" s="48" customFormat="1" ht="15" customHeight="1" x14ac:dyDescent="0.2">
      <c r="A736" s="782"/>
      <c r="B736" s="834"/>
      <c r="C736" s="499"/>
      <c r="D736" s="46">
        <v>2027</v>
      </c>
      <c r="E736" s="47">
        <f t="shared" si="333"/>
        <v>9.4681472000000003E-2</v>
      </c>
      <c r="F736" s="47">
        <f t="shared" si="334"/>
        <v>9.4681472000000003E-2</v>
      </c>
      <c r="G736" s="47">
        <v>0</v>
      </c>
      <c r="H736" s="47">
        <v>0</v>
      </c>
      <c r="I736" s="47">
        <v>0</v>
      </c>
      <c r="J736" s="47">
        <v>0</v>
      </c>
      <c r="K736" s="52">
        <f t="shared" si="323"/>
        <v>9.4681472000000003E-2</v>
      </c>
      <c r="L736" s="53"/>
      <c r="M736" s="50"/>
      <c r="N736" s="56"/>
      <c r="O736" s="521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6"/>
    </row>
    <row r="737" spans="1:57" s="48" customFormat="1" ht="15" customHeight="1" x14ac:dyDescent="0.2">
      <c r="A737" s="782"/>
      <c r="B737" s="834"/>
      <c r="C737" s="499"/>
      <c r="D737" s="46">
        <v>2028</v>
      </c>
      <c r="E737" s="47">
        <f t="shared" si="333"/>
        <v>9.7868730880000004E-2</v>
      </c>
      <c r="F737" s="47">
        <f t="shared" si="334"/>
        <v>9.7868730880000004E-2</v>
      </c>
      <c r="G737" s="47">
        <v>0</v>
      </c>
      <c r="H737" s="47">
        <v>0</v>
      </c>
      <c r="I737" s="47">
        <v>0</v>
      </c>
      <c r="J737" s="47">
        <v>0</v>
      </c>
      <c r="K737" s="52">
        <f t="shared" si="323"/>
        <v>9.7868730880000004E-2</v>
      </c>
      <c r="L737" s="53"/>
      <c r="M737" s="50"/>
      <c r="N737" s="56"/>
      <c r="O737" s="521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6"/>
    </row>
    <row r="738" spans="1:57" s="48" customFormat="1" ht="15" customHeight="1" x14ac:dyDescent="0.2">
      <c r="A738" s="782"/>
      <c r="B738" s="834"/>
      <c r="C738" s="499"/>
      <c r="D738" s="46">
        <v>2029</v>
      </c>
      <c r="E738" s="47">
        <f t="shared" si="333"/>
        <v>0.10118348011520001</v>
      </c>
      <c r="F738" s="47">
        <f t="shared" si="334"/>
        <v>0.10118348011520001</v>
      </c>
      <c r="G738" s="47">
        <v>0</v>
      </c>
      <c r="H738" s="47">
        <v>0</v>
      </c>
      <c r="I738" s="47">
        <v>0</v>
      </c>
      <c r="J738" s="47">
        <v>0</v>
      </c>
      <c r="K738" s="52">
        <f t="shared" si="323"/>
        <v>0.10118348011520001</v>
      </c>
      <c r="L738" s="53"/>
      <c r="M738" s="50"/>
      <c r="N738" s="56"/>
      <c r="O738" s="521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6"/>
    </row>
    <row r="739" spans="1:57" s="48" customFormat="1" ht="15" customHeight="1" x14ac:dyDescent="0.2">
      <c r="A739" s="782"/>
      <c r="B739" s="834"/>
      <c r="C739" s="499"/>
      <c r="D739" s="46">
        <v>2030</v>
      </c>
      <c r="E739" s="47">
        <f>F739</f>
        <v>0.10463081931980801</v>
      </c>
      <c r="F739" s="47">
        <f t="shared" si="334"/>
        <v>0.10463081931980801</v>
      </c>
      <c r="G739" s="47">
        <v>0</v>
      </c>
      <c r="H739" s="47">
        <v>0</v>
      </c>
      <c r="I739" s="47">
        <v>0</v>
      </c>
      <c r="J739" s="47">
        <v>0</v>
      </c>
      <c r="K739" s="52">
        <f t="shared" si="323"/>
        <v>0.10463081931980801</v>
      </c>
      <c r="L739" s="53"/>
      <c r="M739" s="50"/>
      <c r="N739" s="56"/>
      <c r="O739" s="521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6"/>
    </row>
    <row r="740" spans="1:57" s="48" customFormat="1" x14ac:dyDescent="0.2">
      <c r="A740" s="662" t="s">
        <v>682</v>
      </c>
      <c r="B740" s="648" t="s">
        <v>732</v>
      </c>
      <c r="C740" s="137"/>
      <c r="D740" s="46" t="s">
        <v>198</v>
      </c>
      <c r="E740" s="47">
        <f>SUM(E741:E752)</f>
        <v>0.16122000000000003</v>
      </c>
      <c r="F740" s="47">
        <f>SUM(F741:F752)</f>
        <v>0.16122000000000003</v>
      </c>
      <c r="G740" s="47">
        <f t="shared" ref="G740:J740" si="335">SUM(G741:G752)</f>
        <v>0</v>
      </c>
      <c r="H740" s="47">
        <f t="shared" si="335"/>
        <v>0</v>
      </c>
      <c r="I740" s="47">
        <f t="shared" si="335"/>
        <v>0</v>
      </c>
      <c r="J740" s="47">
        <f t="shared" si="335"/>
        <v>0</v>
      </c>
      <c r="K740" s="52">
        <f t="shared" si="323"/>
        <v>0.16122000000000003</v>
      </c>
      <c r="L740" s="53"/>
      <c r="M740" s="50"/>
      <c r="N740" s="56"/>
      <c r="O740" s="521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6"/>
    </row>
    <row r="741" spans="1:57" s="48" customFormat="1" ht="77.25" customHeight="1" x14ac:dyDescent="0.2">
      <c r="A741" s="717"/>
      <c r="B741" s="701"/>
      <c r="C741" s="490" t="s">
        <v>733</v>
      </c>
      <c r="D741" s="470">
        <v>2019</v>
      </c>
      <c r="E741" s="567">
        <f>F741</f>
        <v>0.01</v>
      </c>
      <c r="F741" s="567">
        <v>0.01</v>
      </c>
      <c r="G741" s="567">
        <v>0</v>
      </c>
      <c r="H741" s="567">
        <v>0</v>
      </c>
      <c r="I741" s="567">
        <v>0</v>
      </c>
      <c r="J741" s="567">
        <v>0</v>
      </c>
      <c r="K741" s="52">
        <f t="shared" si="323"/>
        <v>0.01</v>
      </c>
      <c r="L741" s="53"/>
      <c r="M741" s="50"/>
      <c r="N741" s="56"/>
      <c r="O741" s="746" t="s">
        <v>230</v>
      </c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6"/>
    </row>
    <row r="742" spans="1:57" s="48" customFormat="1" ht="22.5" customHeight="1" x14ac:dyDescent="0.2">
      <c r="A742" s="717"/>
      <c r="B742" s="701"/>
      <c r="C742" s="631" t="s">
        <v>913</v>
      </c>
      <c r="D742" s="470">
        <v>2020</v>
      </c>
      <c r="E742" s="567">
        <f t="shared" ref="E742:E752" si="336">F742</f>
        <v>0.01</v>
      </c>
      <c r="F742" s="567">
        <v>0.01</v>
      </c>
      <c r="G742" s="567">
        <v>0</v>
      </c>
      <c r="H742" s="567">
        <v>0</v>
      </c>
      <c r="I742" s="567">
        <v>0</v>
      </c>
      <c r="J742" s="567">
        <v>0</v>
      </c>
      <c r="K742" s="52">
        <f t="shared" si="323"/>
        <v>0.01</v>
      </c>
      <c r="L742" s="53"/>
      <c r="M742" s="50"/>
      <c r="N742" s="56"/>
      <c r="O742" s="747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6"/>
    </row>
    <row r="743" spans="1:57" s="48" customFormat="1" ht="22.5" customHeight="1" x14ac:dyDescent="0.2">
      <c r="A743" s="717"/>
      <c r="B743" s="701"/>
      <c r="C743" s="648"/>
      <c r="D743" s="470">
        <v>2021</v>
      </c>
      <c r="E743" s="567">
        <f t="shared" si="336"/>
        <v>1.04E-2</v>
      </c>
      <c r="F743" s="567">
        <v>1.04E-2</v>
      </c>
      <c r="G743" s="567">
        <v>0</v>
      </c>
      <c r="H743" s="567">
        <v>0</v>
      </c>
      <c r="I743" s="567">
        <v>0</v>
      </c>
      <c r="J743" s="567">
        <v>0</v>
      </c>
      <c r="K743" s="52">
        <f t="shared" si="323"/>
        <v>1.04E-2</v>
      </c>
      <c r="L743" s="53"/>
      <c r="M743" s="50"/>
      <c r="N743" s="56"/>
      <c r="O743" s="747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6"/>
    </row>
    <row r="744" spans="1:57" s="48" customFormat="1" ht="22.5" customHeight="1" x14ac:dyDescent="0.2">
      <c r="A744" s="717"/>
      <c r="B744" s="701"/>
      <c r="C744" s="648"/>
      <c r="D744" s="470">
        <v>2022</v>
      </c>
      <c r="E744" s="567">
        <f t="shared" si="336"/>
        <v>1.082E-2</v>
      </c>
      <c r="F744" s="567">
        <v>1.082E-2</v>
      </c>
      <c r="G744" s="567">
        <v>0</v>
      </c>
      <c r="H744" s="567">
        <v>0</v>
      </c>
      <c r="I744" s="567">
        <v>0</v>
      </c>
      <c r="J744" s="567">
        <v>0</v>
      </c>
      <c r="K744" s="52">
        <f t="shared" si="323"/>
        <v>1.082E-2</v>
      </c>
      <c r="L744" s="53"/>
      <c r="M744" s="50"/>
      <c r="N744" s="56"/>
      <c r="O744" s="747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6"/>
    </row>
    <row r="745" spans="1:57" s="48" customFormat="1" ht="22.5" customHeight="1" x14ac:dyDescent="0.2">
      <c r="A745" s="717"/>
      <c r="B745" s="701"/>
      <c r="C745" s="648"/>
      <c r="D745" s="470">
        <v>2023</v>
      </c>
      <c r="E745" s="567">
        <f t="shared" si="336"/>
        <v>1.4999999999999999E-2</v>
      </c>
      <c r="F745" s="567">
        <v>1.4999999999999999E-2</v>
      </c>
      <c r="G745" s="567">
        <v>0</v>
      </c>
      <c r="H745" s="567">
        <v>0</v>
      </c>
      <c r="I745" s="567">
        <v>0</v>
      </c>
      <c r="J745" s="567">
        <v>0</v>
      </c>
      <c r="K745" s="52">
        <f t="shared" si="323"/>
        <v>1.4999999999999999E-2</v>
      </c>
      <c r="L745" s="53"/>
      <c r="M745" s="50"/>
      <c r="N745" s="56"/>
      <c r="O745" s="747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6"/>
    </row>
    <row r="746" spans="1:57" s="48" customFormat="1" ht="22.5" customHeight="1" x14ac:dyDescent="0.2">
      <c r="A746" s="717"/>
      <c r="B746" s="701"/>
      <c r="C746" s="648"/>
      <c r="D746" s="470">
        <v>2024</v>
      </c>
      <c r="E746" s="567">
        <f t="shared" si="336"/>
        <v>1.4999999999999999E-2</v>
      </c>
      <c r="F746" s="567">
        <v>1.4999999999999999E-2</v>
      </c>
      <c r="G746" s="567">
        <v>0</v>
      </c>
      <c r="H746" s="567">
        <v>0</v>
      </c>
      <c r="I746" s="567">
        <v>0</v>
      </c>
      <c r="J746" s="567">
        <v>0</v>
      </c>
      <c r="K746" s="52">
        <f t="shared" si="323"/>
        <v>1.4999999999999999E-2</v>
      </c>
      <c r="L746" s="53"/>
      <c r="M746" s="50"/>
      <c r="N746" s="56"/>
      <c r="O746" s="747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6"/>
    </row>
    <row r="747" spans="1:57" s="48" customFormat="1" ht="22.5" customHeight="1" x14ac:dyDescent="0.2">
      <c r="A747" s="717"/>
      <c r="B747" s="701"/>
      <c r="C747" s="648"/>
      <c r="D747" s="470">
        <v>2025</v>
      </c>
      <c r="E747" s="567">
        <f t="shared" si="336"/>
        <v>1.4999999999999999E-2</v>
      </c>
      <c r="F747" s="567">
        <v>1.4999999999999999E-2</v>
      </c>
      <c r="G747" s="567">
        <v>0</v>
      </c>
      <c r="H747" s="567">
        <v>0</v>
      </c>
      <c r="I747" s="567">
        <v>0</v>
      </c>
      <c r="J747" s="567">
        <v>0</v>
      </c>
      <c r="K747" s="52">
        <f t="shared" si="323"/>
        <v>1.4999999999999999E-2</v>
      </c>
      <c r="L747" s="53"/>
      <c r="M747" s="50"/>
      <c r="N747" s="56"/>
      <c r="O747" s="747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6"/>
    </row>
    <row r="748" spans="1:57" s="48" customFormat="1" ht="22.5" customHeight="1" x14ac:dyDescent="0.2">
      <c r="A748" s="717"/>
      <c r="B748" s="701"/>
      <c r="C748" s="648"/>
      <c r="D748" s="470">
        <v>2026</v>
      </c>
      <c r="E748" s="567">
        <f t="shared" si="336"/>
        <v>1.4999999999999999E-2</v>
      </c>
      <c r="F748" s="567">
        <v>1.4999999999999999E-2</v>
      </c>
      <c r="G748" s="567">
        <v>0</v>
      </c>
      <c r="H748" s="567">
        <v>0</v>
      </c>
      <c r="I748" s="567">
        <v>0</v>
      </c>
      <c r="J748" s="567">
        <v>0</v>
      </c>
      <c r="K748" s="52">
        <f t="shared" si="323"/>
        <v>1.4999999999999999E-2</v>
      </c>
      <c r="L748" s="53"/>
      <c r="M748" s="50"/>
      <c r="N748" s="56"/>
      <c r="O748" s="747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6"/>
    </row>
    <row r="749" spans="1:57" s="48" customFormat="1" ht="22.5" customHeight="1" x14ac:dyDescent="0.2">
      <c r="A749" s="717"/>
      <c r="B749" s="701"/>
      <c r="C749" s="648"/>
      <c r="D749" s="470">
        <v>2027</v>
      </c>
      <c r="E749" s="567">
        <f t="shared" si="336"/>
        <v>1.4999999999999999E-2</v>
      </c>
      <c r="F749" s="567">
        <v>1.4999999999999999E-2</v>
      </c>
      <c r="G749" s="567">
        <v>0</v>
      </c>
      <c r="H749" s="567">
        <v>0</v>
      </c>
      <c r="I749" s="567">
        <v>0</v>
      </c>
      <c r="J749" s="567">
        <v>0</v>
      </c>
      <c r="K749" s="52">
        <f t="shared" si="323"/>
        <v>1.4999999999999999E-2</v>
      </c>
      <c r="L749" s="53"/>
      <c r="M749" s="50"/>
      <c r="N749" s="56"/>
      <c r="O749" s="747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6"/>
    </row>
    <row r="750" spans="1:57" s="48" customFormat="1" ht="22.5" customHeight="1" x14ac:dyDescent="0.2">
      <c r="A750" s="717"/>
      <c r="B750" s="701"/>
      <c r="C750" s="648"/>
      <c r="D750" s="470">
        <v>2028</v>
      </c>
      <c r="E750" s="567">
        <f t="shared" si="336"/>
        <v>1.4999999999999999E-2</v>
      </c>
      <c r="F750" s="567">
        <v>1.4999999999999999E-2</v>
      </c>
      <c r="G750" s="567">
        <v>0</v>
      </c>
      <c r="H750" s="567">
        <v>0</v>
      </c>
      <c r="I750" s="567">
        <v>0</v>
      </c>
      <c r="J750" s="567">
        <v>0</v>
      </c>
      <c r="K750" s="52">
        <f t="shared" si="323"/>
        <v>1.4999999999999999E-2</v>
      </c>
      <c r="L750" s="53"/>
      <c r="M750" s="50"/>
      <c r="N750" s="56"/>
      <c r="O750" s="747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6"/>
    </row>
    <row r="751" spans="1:57" s="48" customFormat="1" ht="22.5" customHeight="1" x14ac:dyDescent="0.2">
      <c r="A751" s="717"/>
      <c r="B751" s="701"/>
      <c r="C751" s="648"/>
      <c r="D751" s="470">
        <v>2029</v>
      </c>
      <c r="E751" s="567">
        <f t="shared" si="336"/>
        <v>1.4999999999999999E-2</v>
      </c>
      <c r="F751" s="567">
        <v>1.4999999999999999E-2</v>
      </c>
      <c r="G751" s="567">
        <v>0</v>
      </c>
      <c r="H751" s="567">
        <v>0</v>
      </c>
      <c r="I751" s="567">
        <v>0</v>
      </c>
      <c r="J751" s="567">
        <v>0</v>
      </c>
      <c r="K751" s="52">
        <f t="shared" si="323"/>
        <v>1.4999999999999999E-2</v>
      </c>
      <c r="L751" s="53"/>
      <c r="M751" s="50"/>
      <c r="N751" s="56"/>
      <c r="O751" s="747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6"/>
    </row>
    <row r="752" spans="1:57" s="48" customFormat="1" ht="22.5" customHeight="1" x14ac:dyDescent="0.2">
      <c r="A752" s="734"/>
      <c r="B752" s="702"/>
      <c r="C752" s="632"/>
      <c r="D752" s="470">
        <v>2030</v>
      </c>
      <c r="E752" s="567">
        <f t="shared" si="336"/>
        <v>1.4999999999999999E-2</v>
      </c>
      <c r="F752" s="567">
        <v>1.4999999999999999E-2</v>
      </c>
      <c r="G752" s="567">
        <v>0</v>
      </c>
      <c r="H752" s="567">
        <v>0</v>
      </c>
      <c r="I752" s="567">
        <v>0</v>
      </c>
      <c r="J752" s="567">
        <v>0</v>
      </c>
      <c r="K752" s="52">
        <f t="shared" si="323"/>
        <v>1.4999999999999999E-2</v>
      </c>
      <c r="L752" s="53"/>
      <c r="M752" s="50"/>
      <c r="N752" s="56"/>
      <c r="O752" s="748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6"/>
    </row>
    <row r="753" spans="1:57" s="48" customFormat="1" x14ac:dyDescent="0.2">
      <c r="A753" s="662" t="s">
        <v>734</v>
      </c>
      <c r="B753" s="631" t="s">
        <v>735</v>
      </c>
      <c r="C753" s="472"/>
      <c r="D753" s="46" t="s">
        <v>198</v>
      </c>
      <c r="E753" s="47">
        <f t="shared" ref="E753:J753" si="337">SUM(SUM(E754:E754))</f>
        <v>1.0999999999999999E-2</v>
      </c>
      <c r="F753" s="47">
        <f t="shared" si="337"/>
        <v>1.0999999999999999E-2</v>
      </c>
      <c r="G753" s="47">
        <f t="shared" si="337"/>
        <v>0</v>
      </c>
      <c r="H753" s="47">
        <f t="shared" si="337"/>
        <v>0</v>
      </c>
      <c r="I753" s="47">
        <f t="shared" si="337"/>
        <v>0</v>
      </c>
      <c r="J753" s="47">
        <f t="shared" si="337"/>
        <v>0</v>
      </c>
      <c r="K753" s="52">
        <f t="shared" si="323"/>
        <v>1.0999999999999999E-2</v>
      </c>
      <c r="L753" s="53"/>
      <c r="M753" s="50"/>
      <c r="N753" s="56"/>
      <c r="O753" s="769" t="s">
        <v>230</v>
      </c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6"/>
    </row>
    <row r="754" spans="1:57" s="48" customFormat="1" ht="63.75" x14ac:dyDescent="0.2">
      <c r="A754" s="663"/>
      <c r="B754" s="632"/>
      <c r="C754" s="490" t="s">
        <v>733</v>
      </c>
      <c r="D754" s="470">
        <v>2019</v>
      </c>
      <c r="E754" s="567">
        <f>F754+G754+H754+I754+J754</f>
        <v>1.0999999999999999E-2</v>
      </c>
      <c r="F754" s="567">
        <v>1.0999999999999999E-2</v>
      </c>
      <c r="G754" s="567">
        <v>0</v>
      </c>
      <c r="H754" s="567">
        <v>0</v>
      </c>
      <c r="I754" s="567">
        <v>0</v>
      </c>
      <c r="J754" s="567">
        <v>0</v>
      </c>
      <c r="K754" s="52">
        <f t="shared" si="323"/>
        <v>1.0999999999999999E-2</v>
      </c>
      <c r="L754" s="53"/>
      <c r="M754" s="50"/>
      <c r="N754" s="56"/>
      <c r="O754" s="784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6"/>
    </row>
    <row r="755" spans="1:57" s="48" customFormat="1" ht="72.75" customHeight="1" x14ac:dyDescent="0.2">
      <c r="A755" s="210" t="s">
        <v>860</v>
      </c>
      <c r="B755" s="490" t="s">
        <v>862</v>
      </c>
      <c r="C755" s="490" t="s">
        <v>733</v>
      </c>
      <c r="D755" s="470">
        <v>2019</v>
      </c>
      <c r="E755" s="567">
        <f>F755+G755+H755+I755+J755</f>
        <v>0</v>
      </c>
      <c r="F755" s="567">
        <v>0</v>
      </c>
      <c r="G755" s="567">
        <v>0</v>
      </c>
      <c r="H755" s="567">
        <v>0</v>
      </c>
      <c r="I755" s="567">
        <v>0</v>
      </c>
      <c r="J755" s="567">
        <v>0</v>
      </c>
      <c r="K755" s="52">
        <f t="shared" si="323"/>
        <v>0</v>
      </c>
      <c r="L755" s="53"/>
      <c r="M755" s="50"/>
      <c r="N755" s="56"/>
      <c r="O755" s="747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6"/>
    </row>
    <row r="756" spans="1:57" s="90" customFormat="1" ht="19.5" customHeight="1" x14ac:dyDescent="0.2">
      <c r="A756" s="662" t="s">
        <v>915</v>
      </c>
      <c r="B756" s="631" t="s">
        <v>914</v>
      </c>
      <c r="C756" s="244"/>
      <c r="D756" s="46" t="s">
        <v>198</v>
      </c>
      <c r="E756" s="47">
        <f>E757+E758+E759+E760+E761+E762+E763+E764+E765+E766+E767</f>
        <v>0.76789130231500813</v>
      </c>
      <c r="F756" s="47">
        <f>F757+F758+F759+F760+F761+F762+F763+F764+F765+F766+F767</f>
        <v>0.76789130231500813</v>
      </c>
      <c r="G756" s="47">
        <f t="shared" ref="G756:J756" si="338">G757+G758+G759+G760+G761+G762+G763+G764+G765+G766+G767</f>
        <v>0</v>
      </c>
      <c r="H756" s="47">
        <f t="shared" si="338"/>
        <v>0</v>
      </c>
      <c r="I756" s="47">
        <f t="shared" si="338"/>
        <v>0</v>
      </c>
      <c r="J756" s="47">
        <f t="shared" si="338"/>
        <v>0</v>
      </c>
      <c r="K756" s="52">
        <f t="shared" si="323"/>
        <v>0.76789130231500813</v>
      </c>
      <c r="L756" s="52"/>
      <c r="M756" s="50"/>
      <c r="N756" s="51"/>
      <c r="O756" s="747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9"/>
    </row>
    <row r="757" spans="1:57" s="48" customFormat="1" ht="14.25" customHeight="1" x14ac:dyDescent="0.2">
      <c r="A757" s="663"/>
      <c r="B757" s="648"/>
      <c r="C757" s="678" t="s">
        <v>916</v>
      </c>
      <c r="D757" s="470">
        <v>2020</v>
      </c>
      <c r="E757" s="567">
        <f t="shared" ref="E757:E767" si="339">F757+G757+H757+I757+J757</f>
        <v>4.4999999999999998E-2</v>
      </c>
      <c r="F757" s="567">
        <v>4.4999999999999998E-2</v>
      </c>
      <c r="G757" s="567">
        <v>0</v>
      </c>
      <c r="H757" s="567">
        <v>0</v>
      </c>
      <c r="I757" s="567">
        <v>0</v>
      </c>
      <c r="J757" s="567">
        <v>0</v>
      </c>
      <c r="K757" s="52">
        <f t="shared" si="323"/>
        <v>4.4999999999999998E-2</v>
      </c>
      <c r="L757" s="53"/>
      <c r="M757" s="50"/>
      <c r="N757" s="56"/>
      <c r="O757" s="747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6"/>
    </row>
    <row r="758" spans="1:57" s="48" customFormat="1" ht="15.75" customHeight="1" x14ac:dyDescent="0.2">
      <c r="A758" s="663"/>
      <c r="B758" s="648"/>
      <c r="C758" s="678"/>
      <c r="D758" s="470">
        <v>2021</v>
      </c>
      <c r="E758" s="567">
        <f t="shared" si="339"/>
        <v>4.58E-2</v>
      </c>
      <c r="F758" s="567">
        <v>4.58E-2</v>
      </c>
      <c r="G758" s="567">
        <v>0</v>
      </c>
      <c r="H758" s="567">
        <v>0</v>
      </c>
      <c r="I758" s="567">
        <v>0</v>
      </c>
      <c r="J758" s="567">
        <v>0</v>
      </c>
      <c r="K758" s="52">
        <f t="shared" si="323"/>
        <v>4.58E-2</v>
      </c>
      <c r="L758" s="53"/>
      <c r="M758" s="50"/>
      <c r="N758" s="56"/>
      <c r="O758" s="747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6"/>
    </row>
    <row r="759" spans="1:57" s="48" customFormat="1" ht="17.25" customHeight="1" x14ac:dyDescent="0.2">
      <c r="A759" s="663"/>
      <c r="B759" s="648"/>
      <c r="C759" s="678"/>
      <c r="D759" s="470">
        <v>2022</v>
      </c>
      <c r="E759" s="567">
        <f t="shared" si="339"/>
        <v>4.6640000000000001E-2</v>
      </c>
      <c r="F759" s="567">
        <v>4.6640000000000001E-2</v>
      </c>
      <c r="G759" s="567">
        <v>0</v>
      </c>
      <c r="H759" s="567">
        <v>0</v>
      </c>
      <c r="I759" s="567">
        <v>0</v>
      </c>
      <c r="J759" s="567">
        <v>0</v>
      </c>
      <c r="K759" s="52">
        <f t="shared" si="323"/>
        <v>4.6640000000000001E-2</v>
      </c>
      <c r="L759" s="53"/>
      <c r="M759" s="50"/>
      <c r="N759" s="56"/>
      <c r="O759" s="747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6"/>
    </row>
    <row r="760" spans="1:57" s="48" customFormat="1" ht="15.75" customHeight="1" x14ac:dyDescent="0.2">
      <c r="A760" s="663"/>
      <c r="B760" s="648"/>
      <c r="C760" s="678"/>
      <c r="D760" s="470">
        <v>2023</v>
      </c>
      <c r="E760" s="567">
        <f t="shared" si="339"/>
        <v>7.0000000000000007E-2</v>
      </c>
      <c r="F760" s="567">
        <f>70/1000</f>
        <v>7.0000000000000007E-2</v>
      </c>
      <c r="G760" s="567">
        <v>0</v>
      </c>
      <c r="H760" s="567">
        <v>0</v>
      </c>
      <c r="I760" s="567">
        <v>0</v>
      </c>
      <c r="J760" s="567">
        <v>0</v>
      </c>
      <c r="K760" s="52">
        <f t="shared" si="323"/>
        <v>7.0000000000000007E-2</v>
      </c>
      <c r="L760" s="53"/>
      <c r="M760" s="50"/>
      <c r="N760" s="56"/>
      <c r="O760" s="747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6"/>
    </row>
    <row r="761" spans="1:57" s="48" customFormat="1" ht="16.5" customHeight="1" x14ac:dyDescent="0.2">
      <c r="A761" s="663"/>
      <c r="B761" s="648"/>
      <c r="C761" s="678"/>
      <c r="D761" s="470">
        <v>2024</v>
      </c>
      <c r="E761" s="567">
        <f t="shared" si="339"/>
        <v>7.1800000000000003E-2</v>
      </c>
      <c r="F761" s="567">
        <f>71.8/1000</f>
        <v>7.1800000000000003E-2</v>
      </c>
      <c r="G761" s="567">
        <v>0</v>
      </c>
      <c r="H761" s="567">
        <v>0</v>
      </c>
      <c r="I761" s="567">
        <v>0</v>
      </c>
      <c r="J761" s="567">
        <v>0</v>
      </c>
      <c r="K761" s="52">
        <f t="shared" si="323"/>
        <v>7.1800000000000003E-2</v>
      </c>
      <c r="L761" s="53"/>
      <c r="M761" s="50"/>
      <c r="N761" s="56"/>
      <c r="O761" s="747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6"/>
    </row>
    <row r="762" spans="1:57" s="48" customFormat="1" ht="15.75" customHeight="1" x14ac:dyDescent="0.2">
      <c r="A762" s="663"/>
      <c r="B762" s="648"/>
      <c r="C762" s="678"/>
      <c r="D762" s="470">
        <v>2025</v>
      </c>
      <c r="E762" s="567">
        <f t="shared" si="339"/>
        <v>7.3669999999999999E-2</v>
      </c>
      <c r="F762" s="567">
        <f>73.67/1000</f>
        <v>7.3669999999999999E-2</v>
      </c>
      <c r="G762" s="567">
        <v>0</v>
      </c>
      <c r="H762" s="567">
        <v>0</v>
      </c>
      <c r="I762" s="567">
        <v>0</v>
      </c>
      <c r="J762" s="567">
        <v>0</v>
      </c>
      <c r="K762" s="52">
        <f t="shared" si="323"/>
        <v>7.3669999999999999E-2</v>
      </c>
      <c r="L762" s="53"/>
      <c r="M762" s="50"/>
      <c r="N762" s="56"/>
      <c r="O762" s="747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6"/>
    </row>
    <row r="763" spans="1:57" s="48" customFormat="1" ht="19.5" customHeight="1" x14ac:dyDescent="0.2">
      <c r="A763" s="663"/>
      <c r="B763" s="648"/>
      <c r="C763" s="631" t="s">
        <v>917</v>
      </c>
      <c r="D763" s="470">
        <v>2026</v>
      </c>
      <c r="E763" s="567">
        <f t="shared" si="339"/>
        <v>7.6616799999999999E-2</v>
      </c>
      <c r="F763" s="567">
        <f>F762*1.04</f>
        <v>7.6616799999999999E-2</v>
      </c>
      <c r="G763" s="567">
        <v>0</v>
      </c>
      <c r="H763" s="567">
        <v>0</v>
      </c>
      <c r="I763" s="567">
        <v>0</v>
      </c>
      <c r="J763" s="567">
        <v>0</v>
      </c>
      <c r="K763" s="52">
        <f t="shared" si="323"/>
        <v>7.6616799999999999E-2</v>
      </c>
      <c r="L763" s="53"/>
      <c r="M763" s="50"/>
      <c r="N763" s="56"/>
      <c r="O763" s="747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6"/>
    </row>
    <row r="764" spans="1:57" s="48" customFormat="1" ht="19.5" customHeight="1" x14ac:dyDescent="0.2">
      <c r="A764" s="663"/>
      <c r="B764" s="648"/>
      <c r="C764" s="648"/>
      <c r="D764" s="470">
        <v>2027</v>
      </c>
      <c r="E764" s="567">
        <f t="shared" si="339"/>
        <v>7.9681472000000003E-2</v>
      </c>
      <c r="F764" s="567">
        <f>F763*1.04</f>
        <v>7.9681472000000003E-2</v>
      </c>
      <c r="G764" s="567">
        <v>0</v>
      </c>
      <c r="H764" s="567">
        <v>0</v>
      </c>
      <c r="I764" s="567">
        <v>0</v>
      </c>
      <c r="J764" s="567">
        <v>0</v>
      </c>
      <c r="K764" s="52">
        <f t="shared" si="323"/>
        <v>7.9681472000000003E-2</v>
      </c>
      <c r="L764" s="53"/>
      <c r="M764" s="50"/>
      <c r="N764" s="56"/>
      <c r="O764" s="747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6"/>
    </row>
    <row r="765" spans="1:57" s="48" customFormat="1" ht="19.5" customHeight="1" x14ac:dyDescent="0.2">
      <c r="A765" s="663"/>
      <c r="B765" s="648"/>
      <c r="C765" s="648"/>
      <c r="D765" s="470">
        <v>2028</v>
      </c>
      <c r="E765" s="567">
        <f t="shared" si="339"/>
        <v>8.2868730880000005E-2</v>
      </c>
      <c r="F765" s="567">
        <f>F764*1.04</f>
        <v>8.2868730880000005E-2</v>
      </c>
      <c r="G765" s="567">
        <v>0</v>
      </c>
      <c r="H765" s="567">
        <v>0</v>
      </c>
      <c r="I765" s="567">
        <v>0</v>
      </c>
      <c r="J765" s="567">
        <v>0</v>
      </c>
      <c r="K765" s="52">
        <f t="shared" si="323"/>
        <v>8.2868730880000005E-2</v>
      </c>
      <c r="L765" s="53"/>
      <c r="M765" s="50"/>
      <c r="N765" s="56"/>
      <c r="O765" s="747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6"/>
    </row>
    <row r="766" spans="1:57" s="48" customFormat="1" ht="19.5" customHeight="1" x14ac:dyDescent="0.2">
      <c r="A766" s="663"/>
      <c r="B766" s="648"/>
      <c r="C766" s="648"/>
      <c r="D766" s="470">
        <v>2029</v>
      </c>
      <c r="E766" s="567">
        <f t="shared" si="339"/>
        <v>8.6183480115200009E-2</v>
      </c>
      <c r="F766" s="567">
        <f>F765*1.04</f>
        <v>8.6183480115200009E-2</v>
      </c>
      <c r="G766" s="567">
        <v>0</v>
      </c>
      <c r="H766" s="567">
        <v>0</v>
      </c>
      <c r="I766" s="567">
        <v>0</v>
      </c>
      <c r="J766" s="567">
        <v>0</v>
      </c>
      <c r="K766" s="52">
        <f t="shared" si="323"/>
        <v>8.6183480115200009E-2</v>
      </c>
      <c r="L766" s="53"/>
      <c r="M766" s="50"/>
      <c r="N766" s="56"/>
      <c r="O766" s="747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6"/>
    </row>
    <row r="767" spans="1:57" s="48" customFormat="1" ht="19.5" customHeight="1" x14ac:dyDescent="0.2">
      <c r="A767" s="664"/>
      <c r="B767" s="632"/>
      <c r="C767" s="632"/>
      <c r="D767" s="470">
        <v>2030</v>
      </c>
      <c r="E767" s="567">
        <f t="shared" si="339"/>
        <v>8.9630819319808014E-2</v>
      </c>
      <c r="F767" s="567">
        <f>F766*1.04</f>
        <v>8.9630819319808014E-2</v>
      </c>
      <c r="G767" s="567">
        <v>0</v>
      </c>
      <c r="H767" s="567">
        <v>0</v>
      </c>
      <c r="I767" s="567">
        <v>0</v>
      </c>
      <c r="J767" s="567">
        <v>0</v>
      </c>
      <c r="K767" s="52">
        <f t="shared" si="323"/>
        <v>8.9630819319808014E-2</v>
      </c>
      <c r="L767" s="53"/>
      <c r="M767" s="50"/>
      <c r="N767" s="56"/>
      <c r="O767" s="748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6"/>
    </row>
    <row r="768" spans="1:57" s="93" customFormat="1" ht="15.75" x14ac:dyDescent="0.25">
      <c r="A768" s="731" t="s">
        <v>683</v>
      </c>
      <c r="B768" s="783" t="s">
        <v>214</v>
      </c>
      <c r="C768" s="783"/>
      <c r="D768" s="46" t="s">
        <v>198</v>
      </c>
      <c r="E768" s="560">
        <f>E769+E770+E771+E772+E773+E774+E775</f>
        <v>392.53100000000001</v>
      </c>
      <c r="F768" s="560">
        <f t="shared" ref="F768:J768" si="340">F769+F770+F771+F772+F773+F774+F775</f>
        <v>0</v>
      </c>
      <c r="G768" s="560">
        <f t="shared" si="340"/>
        <v>0</v>
      </c>
      <c r="H768" s="560">
        <f t="shared" si="340"/>
        <v>179.71299999999999</v>
      </c>
      <c r="I768" s="560">
        <f t="shared" si="340"/>
        <v>212.81800000000001</v>
      </c>
      <c r="J768" s="560">
        <f t="shared" si="340"/>
        <v>0</v>
      </c>
      <c r="K768" s="52">
        <f t="shared" si="323"/>
        <v>392.53100000000001</v>
      </c>
      <c r="L768" s="560"/>
      <c r="M768" s="560"/>
      <c r="N768" s="64"/>
      <c r="O768" s="49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2"/>
    </row>
    <row r="769" spans="1:57" s="93" customFormat="1" ht="15.75" x14ac:dyDescent="0.25">
      <c r="A769" s="782"/>
      <c r="B769" s="701"/>
      <c r="C769" s="701"/>
      <c r="D769" s="46">
        <v>2019</v>
      </c>
      <c r="E769" s="47">
        <f>E795</f>
        <v>10</v>
      </c>
      <c r="F769" s="47">
        <f t="shared" ref="F769:J769" si="341">F795</f>
        <v>0</v>
      </c>
      <c r="G769" s="47">
        <f t="shared" si="341"/>
        <v>0</v>
      </c>
      <c r="H769" s="47">
        <f t="shared" si="341"/>
        <v>6</v>
      </c>
      <c r="I769" s="47">
        <f t="shared" si="341"/>
        <v>4</v>
      </c>
      <c r="J769" s="47">
        <f t="shared" si="341"/>
        <v>0</v>
      </c>
      <c r="K769" s="52">
        <f t="shared" si="323"/>
        <v>10</v>
      </c>
      <c r="L769" s="560"/>
      <c r="M769" s="560"/>
      <c r="N769" s="64"/>
      <c r="O769" s="49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2"/>
    </row>
    <row r="770" spans="1:57" s="93" customFormat="1" ht="15.75" x14ac:dyDescent="0.25">
      <c r="A770" s="782"/>
      <c r="B770" s="701"/>
      <c r="C770" s="701"/>
      <c r="D770" s="46">
        <v>2020</v>
      </c>
      <c r="E770" s="47">
        <f>E777+E784+E788+E791+E803+E808+E816+E824+E827+E796+E812</f>
        <v>134.922</v>
      </c>
      <c r="F770" s="47">
        <f t="shared" ref="F770:J770" si="342">F777+F784+F788+F791+F803+F808+F816+F824+F827+F796+F812</f>
        <v>0</v>
      </c>
      <c r="G770" s="47">
        <f t="shared" si="342"/>
        <v>0</v>
      </c>
      <c r="H770" s="47">
        <f t="shared" si="342"/>
        <v>47.061</v>
      </c>
      <c r="I770" s="47">
        <f t="shared" si="342"/>
        <v>87.861000000000004</v>
      </c>
      <c r="J770" s="47">
        <f t="shared" si="342"/>
        <v>0</v>
      </c>
      <c r="K770" s="52">
        <f t="shared" si="323"/>
        <v>134.922</v>
      </c>
      <c r="L770" s="560"/>
      <c r="M770" s="560"/>
      <c r="N770" s="64"/>
      <c r="O770" s="49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2"/>
    </row>
    <row r="771" spans="1:57" s="93" customFormat="1" ht="15.75" x14ac:dyDescent="0.25">
      <c r="A771" s="782"/>
      <c r="B771" s="701"/>
      <c r="C771" s="701"/>
      <c r="D771" s="46">
        <v>2021</v>
      </c>
      <c r="E771" s="47">
        <f>E778+E785+E789+E792+E804+E809+E813+E817+E822+E825+E828</f>
        <v>83.195999999999998</v>
      </c>
      <c r="F771" s="47">
        <f t="shared" ref="F771:I771" si="343">F778+F785+F789+F792+F804+F809+F813+F817+F822+F825+F828</f>
        <v>0</v>
      </c>
      <c r="G771" s="47">
        <f t="shared" si="343"/>
        <v>0</v>
      </c>
      <c r="H771" s="47">
        <f t="shared" si="343"/>
        <v>42.477999999999994</v>
      </c>
      <c r="I771" s="47">
        <f t="shared" si="343"/>
        <v>40.717999999999996</v>
      </c>
      <c r="J771" s="47">
        <f t="shared" ref="J771" si="344">J778+J785+J789+J792+J804+J809+J813+J817+J822+J825+J828</f>
        <v>0</v>
      </c>
      <c r="K771" s="52">
        <f t="shared" ref="K771:K833" si="345">F771+G771+H771+I771+J771</f>
        <v>83.195999999999998</v>
      </c>
      <c r="L771" s="560"/>
      <c r="M771" s="560"/>
      <c r="N771" s="64"/>
      <c r="O771" s="49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2"/>
    </row>
    <row r="772" spans="1:57" s="93" customFormat="1" ht="15.75" x14ac:dyDescent="0.25">
      <c r="A772" s="782"/>
      <c r="B772" s="701"/>
      <c r="C772" s="701"/>
      <c r="D772" s="46">
        <v>2022</v>
      </c>
      <c r="E772" s="47">
        <f>E779+E786+E793+E798+E806+E818+E820++E814</f>
        <v>96.412999999999997</v>
      </c>
      <c r="F772" s="47">
        <f t="shared" ref="F772:J772" si="346">F779+F786+F793+F798+F806+F818+F820++F814</f>
        <v>0</v>
      </c>
      <c r="G772" s="47">
        <f t="shared" si="346"/>
        <v>0</v>
      </c>
      <c r="H772" s="47">
        <f t="shared" si="346"/>
        <v>50.173999999999999</v>
      </c>
      <c r="I772" s="47">
        <f t="shared" si="346"/>
        <v>46.238999999999997</v>
      </c>
      <c r="J772" s="47">
        <f t="shared" si="346"/>
        <v>0</v>
      </c>
      <c r="K772" s="52">
        <f t="shared" si="345"/>
        <v>96.412999999999997</v>
      </c>
      <c r="L772" s="560"/>
      <c r="M772" s="560"/>
      <c r="N772" s="64"/>
      <c r="O772" s="49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2"/>
    </row>
    <row r="773" spans="1:57" s="93" customFormat="1" ht="15.75" x14ac:dyDescent="0.25">
      <c r="A773" s="782"/>
      <c r="B773" s="701"/>
      <c r="C773" s="701"/>
      <c r="D773" s="46">
        <v>2023</v>
      </c>
      <c r="E773" s="47">
        <f>E810</f>
        <v>8</v>
      </c>
      <c r="F773" s="47">
        <f t="shared" ref="F773:J773" si="347">F810</f>
        <v>0</v>
      </c>
      <c r="G773" s="47">
        <f t="shared" si="347"/>
        <v>0</v>
      </c>
      <c r="H773" s="47">
        <f t="shared" si="347"/>
        <v>4</v>
      </c>
      <c r="I773" s="47">
        <f t="shared" si="347"/>
        <v>4</v>
      </c>
      <c r="J773" s="47">
        <f t="shared" si="347"/>
        <v>0</v>
      </c>
      <c r="K773" s="52">
        <f t="shared" si="345"/>
        <v>8</v>
      </c>
      <c r="L773" s="560"/>
      <c r="M773" s="560"/>
      <c r="N773" s="64"/>
      <c r="O773" s="49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2"/>
    </row>
    <row r="774" spans="1:57" s="93" customFormat="1" ht="15.75" x14ac:dyDescent="0.25">
      <c r="A774" s="782"/>
      <c r="B774" s="701"/>
      <c r="C774" s="701"/>
      <c r="D774" s="46">
        <v>2026</v>
      </c>
      <c r="E774" s="47">
        <f>E800</f>
        <v>30</v>
      </c>
      <c r="F774" s="47">
        <f t="shared" ref="F774:J775" si="348">F800</f>
        <v>0</v>
      </c>
      <c r="G774" s="47">
        <f t="shared" si="348"/>
        <v>0</v>
      </c>
      <c r="H774" s="47">
        <f t="shared" si="348"/>
        <v>15</v>
      </c>
      <c r="I774" s="47">
        <f t="shared" si="348"/>
        <v>15</v>
      </c>
      <c r="J774" s="47">
        <f t="shared" si="348"/>
        <v>0</v>
      </c>
      <c r="K774" s="52">
        <f t="shared" si="345"/>
        <v>30</v>
      </c>
      <c r="L774" s="560"/>
      <c r="M774" s="560"/>
      <c r="N774" s="64"/>
      <c r="O774" s="49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2"/>
    </row>
    <row r="775" spans="1:57" s="93" customFormat="1" ht="15.75" x14ac:dyDescent="0.25">
      <c r="A775" s="782"/>
      <c r="B775" s="701"/>
      <c r="C775" s="701"/>
      <c r="D775" s="46">
        <v>2030</v>
      </c>
      <c r="E775" s="47">
        <f>E801</f>
        <v>30</v>
      </c>
      <c r="F775" s="47">
        <f t="shared" si="348"/>
        <v>0</v>
      </c>
      <c r="G775" s="47">
        <f t="shared" si="348"/>
        <v>0</v>
      </c>
      <c r="H775" s="47">
        <f t="shared" si="348"/>
        <v>15</v>
      </c>
      <c r="I775" s="47">
        <f>I801</f>
        <v>15</v>
      </c>
      <c r="J775" s="47">
        <f t="shared" si="348"/>
        <v>0</v>
      </c>
      <c r="K775" s="52">
        <f t="shared" si="345"/>
        <v>30</v>
      </c>
      <c r="L775" s="560"/>
      <c r="M775" s="560"/>
      <c r="N775" s="64"/>
      <c r="O775" s="49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2"/>
    </row>
    <row r="776" spans="1:57" s="48" customFormat="1" x14ac:dyDescent="0.2">
      <c r="A776" s="675" t="s">
        <v>684</v>
      </c>
      <c r="B776" s="739" t="s">
        <v>510</v>
      </c>
      <c r="C776" s="631" t="s">
        <v>393</v>
      </c>
      <c r="D776" s="46" t="s">
        <v>198</v>
      </c>
      <c r="E776" s="47">
        <f>E777+E778+E779</f>
        <v>99.140999999999991</v>
      </c>
      <c r="F776" s="47">
        <f t="shared" ref="F776:J776" si="349">F777+F778+F779</f>
        <v>0</v>
      </c>
      <c r="G776" s="47">
        <f t="shared" si="349"/>
        <v>0</v>
      </c>
      <c r="H776" s="47">
        <f t="shared" si="349"/>
        <v>27.07</v>
      </c>
      <c r="I776" s="47">
        <f>I777+I778+I779</f>
        <v>72.070999999999998</v>
      </c>
      <c r="J776" s="47">
        <f t="shared" si="349"/>
        <v>0</v>
      </c>
      <c r="K776" s="52">
        <f t="shared" si="345"/>
        <v>99.140999999999991</v>
      </c>
      <c r="L776" s="779" t="s">
        <v>472</v>
      </c>
      <c r="M776" s="779">
        <v>65.400000000000006</v>
      </c>
      <c r="N776" s="762">
        <v>10</v>
      </c>
      <c r="O776" s="695" t="s">
        <v>218</v>
      </c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6"/>
    </row>
    <row r="777" spans="1:57" s="48" customFormat="1" x14ac:dyDescent="0.2">
      <c r="A777" s="636"/>
      <c r="B777" s="701"/>
      <c r="C777" s="701"/>
      <c r="D777" s="470">
        <v>2020</v>
      </c>
      <c r="E777" s="567">
        <f t="shared" ref="E777:E782" si="350">F777+G777+H777+I777+J777</f>
        <v>74.19</v>
      </c>
      <c r="F777" s="97">
        <v>0</v>
      </c>
      <c r="G777" s="567">
        <v>0</v>
      </c>
      <c r="H777" s="567">
        <v>14.595000000000001</v>
      </c>
      <c r="I777" s="567">
        <v>59.594999999999999</v>
      </c>
      <c r="J777" s="567">
        <v>0</v>
      </c>
      <c r="K777" s="52">
        <f t="shared" si="345"/>
        <v>74.19</v>
      </c>
      <c r="L777" s="780"/>
      <c r="M777" s="780"/>
      <c r="N777" s="763"/>
      <c r="O777" s="700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6"/>
    </row>
    <row r="778" spans="1:57" s="48" customFormat="1" x14ac:dyDescent="0.2">
      <c r="A778" s="636"/>
      <c r="B778" s="701"/>
      <c r="C778" s="701"/>
      <c r="D778" s="485">
        <v>2021</v>
      </c>
      <c r="E778" s="567">
        <f t="shared" si="350"/>
        <v>17.771999999999998</v>
      </c>
      <c r="F778" s="97">
        <v>0</v>
      </c>
      <c r="G778" s="567">
        <v>0</v>
      </c>
      <c r="H778" s="567">
        <v>8.8859999999999992</v>
      </c>
      <c r="I778" s="567">
        <v>8.8859999999999992</v>
      </c>
      <c r="J778" s="567">
        <v>0</v>
      </c>
      <c r="K778" s="52">
        <f t="shared" si="345"/>
        <v>17.771999999999998</v>
      </c>
      <c r="L778" s="780"/>
      <c r="M778" s="780"/>
      <c r="N778" s="763"/>
      <c r="O778" s="700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6"/>
    </row>
    <row r="779" spans="1:57" s="247" customFormat="1" x14ac:dyDescent="0.2">
      <c r="A779" s="637"/>
      <c r="B779" s="702"/>
      <c r="C779" s="701"/>
      <c r="D779" s="245">
        <v>2022</v>
      </c>
      <c r="E779" s="493">
        <f t="shared" si="350"/>
        <v>7.1790000000000003</v>
      </c>
      <c r="F779" s="98">
        <v>0</v>
      </c>
      <c r="G779" s="493">
        <v>0</v>
      </c>
      <c r="H779" s="493">
        <v>3.589</v>
      </c>
      <c r="I779" s="493">
        <v>3.59</v>
      </c>
      <c r="J779" s="493">
        <v>0</v>
      </c>
      <c r="K779" s="52">
        <f t="shared" si="345"/>
        <v>7.1790000000000003</v>
      </c>
      <c r="L779" s="781"/>
      <c r="M779" s="781"/>
      <c r="N779" s="764"/>
      <c r="O779" s="700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246"/>
    </row>
    <row r="780" spans="1:57" s="247" customFormat="1" ht="51" x14ac:dyDescent="0.2">
      <c r="A780" s="489" t="s">
        <v>685</v>
      </c>
      <c r="B780" s="473" t="s">
        <v>471</v>
      </c>
      <c r="C780" s="701"/>
      <c r="D780" s="485">
        <v>2020</v>
      </c>
      <c r="E780" s="493">
        <f t="shared" si="350"/>
        <v>74.19</v>
      </c>
      <c r="F780" s="98">
        <v>0</v>
      </c>
      <c r="G780" s="493">
        <v>0</v>
      </c>
      <c r="H780" s="493">
        <v>14.595000000000001</v>
      </c>
      <c r="I780" s="493">
        <v>59.594999999999999</v>
      </c>
      <c r="J780" s="493">
        <v>0</v>
      </c>
      <c r="K780" s="52">
        <f t="shared" si="345"/>
        <v>74.19</v>
      </c>
      <c r="L780" s="100"/>
      <c r="M780" s="100"/>
      <c r="N780" s="57">
        <v>2</v>
      </c>
      <c r="O780" s="700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246"/>
    </row>
    <row r="781" spans="1:57" s="48" customFormat="1" ht="25.5" x14ac:dyDescent="0.2">
      <c r="A781" s="491" t="s">
        <v>686</v>
      </c>
      <c r="B781" s="490" t="s">
        <v>486</v>
      </c>
      <c r="C781" s="701"/>
      <c r="D781" s="470">
        <v>2021</v>
      </c>
      <c r="E781" s="567">
        <f t="shared" si="350"/>
        <v>17.771999999999998</v>
      </c>
      <c r="F781" s="97">
        <v>0</v>
      </c>
      <c r="G781" s="567">
        <v>0</v>
      </c>
      <c r="H781" s="567">
        <v>8.8859999999999992</v>
      </c>
      <c r="I781" s="567">
        <v>8.8859999999999992</v>
      </c>
      <c r="J781" s="567">
        <v>0</v>
      </c>
      <c r="K781" s="52">
        <f t="shared" si="345"/>
        <v>17.771999999999998</v>
      </c>
      <c r="L781" s="61"/>
      <c r="M781" s="61"/>
      <c r="N781" s="102">
        <v>5</v>
      </c>
      <c r="O781" s="700"/>
    </row>
    <row r="782" spans="1:57" s="48" customFormat="1" x14ac:dyDescent="0.2">
      <c r="A782" s="491" t="s">
        <v>687</v>
      </c>
      <c r="B782" s="490" t="s">
        <v>473</v>
      </c>
      <c r="C782" s="701"/>
      <c r="D782" s="470">
        <v>2022</v>
      </c>
      <c r="E782" s="567">
        <f t="shared" si="350"/>
        <v>7.1790000000000003</v>
      </c>
      <c r="F782" s="97">
        <v>0</v>
      </c>
      <c r="G782" s="567">
        <v>0</v>
      </c>
      <c r="H782" s="567">
        <v>3.589</v>
      </c>
      <c r="I782" s="567">
        <v>3.59</v>
      </c>
      <c r="J782" s="567">
        <v>0</v>
      </c>
      <c r="K782" s="52">
        <f t="shared" si="345"/>
        <v>7.1790000000000003</v>
      </c>
      <c r="L782" s="61"/>
      <c r="M782" s="61"/>
      <c r="N782" s="102">
        <v>3</v>
      </c>
      <c r="O782" s="700"/>
    </row>
    <row r="783" spans="1:57" s="226" customFormat="1" x14ac:dyDescent="0.2">
      <c r="A783" s="675" t="s">
        <v>688</v>
      </c>
      <c r="B783" s="743" t="s">
        <v>487</v>
      </c>
      <c r="C783" s="701"/>
      <c r="D783" s="59" t="s">
        <v>198</v>
      </c>
      <c r="E783" s="96">
        <f>E784+E785+E786</f>
        <v>37.706000000000003</v>
      </c>
      <c r="F783" s="96">
        <f t="shared" ref="F783:J783" si="351">F784+F785+F786</f>
        <v>0</v>
      </c>
      <c r="G783" s="96">
        <f t="shared" si="351"/>
        <v>0</v>
      </c>
      <c r="H783" s="96">
        <f t="shared" si="351"/>
        <v>18.853000000000002</v>
      </c>
      <c r="I783" s="96">
        <f t="shared" si="351"/>
        <v>18.853000000000002</v>
      </c>
      <c r="J783" s="96">
        <f t="shared" si="351"/>
        <v>0</v>
      </c>
      <c r="K783" s="52">
        <f t="shared" si="345"/>
        <v>37.706000000000003</v>
      </c>
      <c r="L783" s="96" t="s">
        <v>781</v>
      </c>
      <c r="M783" s="96">
        <v>25.9</v>
      </c>
      <c r="N783" s="527">
        <v>5</v>
      </c>
      <c r="O783" s="695" t="s">
        <v>219</v>
      </c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225"/>
    </row>
    <row r="784" spans="1:57" s="48" customFormat="1" x14ac:dyDescent="0.2">
      <c r="A784" s="676"/>
      <c r="B784" s="744"/>
      <c r="C784" s="701"/>
      <c r="D784" s="470">
        <v>2020</v>
      </c>
      <c r="E784" s="567">
        <f t="shared" ref="E784:E793" si="352">F784+G784+H784+I784+J784</f>
        <v>14.596</v>
      </c>
      <c r="F784" s="567">
        <v>0</v>
      </c>
      <c r="G784" s="567">
        <v>0</v>
      </c>
      <c r="H784" s="567">
        <v>7.298</v>
      </c>
      <c r="I784" s="567">
        <v>7.298</v>
      </c>
      <c r="J784" s="567">
        <v>0</v>
      </c>
      <c r="K784" s="52">
        <f t="shared" si="345"/>
        <v>14.596</v>
      </c>
      <c r="L784" s="53"/>
      <c r="M784" s="53"/>
      <c r="N784" s="56"/>
      <c r="O784" s="700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6"/>
    </row>
    <row r="785" spans="1:57" s="48" customFormat="1" x14ac:dyDescent="0.2">
      <c r="A785" s="676"/>
      <c r="B785" s="744"/>
      <c r="C785" s="701"/>
      <c r="D785" s="470">
        <v>2021</v>
      </c>
      <c r="E785" s="567">
        <f t="shared" si="352"/>
        <v>8.07</v>
      </c>
      <c r="F785" s="567">
        <v>0</v>
      </c>
      <c r="G785" s="567">
        <v>0</v>
      </c>
      <c r="H785" s="567">
        <v>4.0350000000000001</v>
      </c>
      <c r="I785" s="567">
        <v>4.0350000000000001</v>
      </c>
      <c r="J785" s="567">
        <v>0</v>
      </c>
      <c r="K785" s="52">
        <f t="shared" si="345"/>
        <v>8.07</v>
      </c>
      <c r="L785" s="53"/>
      <c r="M785" s="53"/>
      <c r="N785" s="56"/>
      <c r="O785" s="696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66"/>
    </row>
    <row r="786" spans="1:57" s="48" customFormat="1" ht="54" customHeight="1" x14ac:dyDescent="0.2">
      <c r="A786" s="677"/>
      <c r="B786" s="745"/>
      <c r="C786" s="701"/>
      <c r="D786" s="470">
        <v>2022</v>
      </c>
      <c r="E786" s="567">
        <f t="shared" si="352"/>
        <v>15.04</v>
      </c>
      <c r="F786" s="567">
        <v>0</v>
      </c>
      <c r="G786" s="567">
        <v>0</v>
      </c>
      <c r="H786" s="567">
        <v>7.52</v>
      </c>
      <c r="I786" s="567">
        <v>7.52</v>
      </c>
      <c r="J786" s="567">
        <v>0</v>
      </c>
      <c r="K786" s="52">
        <f t="shared" si="345"/>
        <v>15.04</v>
      </c>
      <c r="L786" s="53"/>
      <c r="M786" s="53"/>
      <c r="N786" s="56"/>
      <c r="O786" s="498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66"/>
    </row>
    <row r="787" spans="1:57" s="48" customFormat="1" x14ac:dyDescent="0.2">
      <c r="A787" s="675" t="s">
        <v>689</v>
      </c>
      <c r="B787" s="739" t="s">
        <v>508</v>
      </c>
      <c r="C787" s="701"/>
      <c r="D787" s="46" t="s">
        <v>198</v>
      </c>
      <c r="E787" s="47">
        <f>E788+E789</f>
        <v>13</v>
      </c>
      <c r="F787" s="47">
        <f t="shared" ref="F787:J787" si="353">F788+F789</f>
        <v>0</v>
      </c>
      <c r="G787" s="47">
        <f t="shared" si="353"/>
        <v>0</v>
      </c>
      <c r="H787" s="47">
        <f t="shared" si="353"/>
        <v>6.5</v>
      </c>
      <c r="I787" s="47">
        <f t="shared" si="353"/>
        <v>6.5</v>
      </c>
      <c r="J787" s="47">
        <f t="shared" si="353"/>
        <v>0</v>
      </c>
      <c r="K787" s="52">
        <f t="shared" si="345"/>
        <v>13</v>
      </c>
      <c r="L787" s="47" t="s">
        <v>782</v>
      </c>
      <c r="M787" s="47">
        <v>9.6999999999999993</v>
      </c>
      <c r="N787" s="103">
        <v>2</v>
      </c>
      <c r="O787" s="760" t="s">
        <v>220</v>
      </c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6"/>
    </row>
    <row r="788" spans="1:57" s="48" customFormat="1" x14ac:dyDescent="0.2">
      <c r="A788" s="636"/>
      <c r="B788" s="701"/>
      <c r="C788" s="701"/>
      <c r="D788" s="470">
        <v>2020</v>
      </c>
      <c r="E788" s="567">
        <f t="shared" si="352"/>
        <v>6.5</v>
      </c>
      <c r="F788" s="567">
        <v>0</v>
      </c>
      <c r="G788" s="567">
        <v>0</v>
      </c>
      <c r="H788" s="567">
        <v>3.25</v>
      </c>
      <c r="I788" s="567">
        <v>3.25</v>
      </c>
      <c r="J788" s="567">
        <v>0</v>
      </c>
      <c r="K788" s="52">
        <f t="shared" si="345"/>
        <v>6.5</v>
      </c>
      <c r="L788" s="53"/>
      <c r="M788" s="53"/>
      <c r="N788" s="56"/>
      <c r="O788" s="776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6"/>
    </row>
    <row r="789" spans="1:57" s="48" customFormat="1" x14ac:dyDescent="0.2">
      <c r="A789" s="476"/>
      <c r="B789" s="499"/>
      <c r="C789" s="499"/>
      <c r="D789" s="470">
        <v>2021</v>
      </c>
      <c r="E789" s="567">
        <f t="shared" si="352"/>
        <v>6.5</v>
      </c>
      <c r="F789" s="567">
        <v>0</v>
      </c>
      <c r="G789" s="567">
        <v>0</v>
      </c>
      <c r="H789" s="567">
        <v>3.25</v>
      </c>
      <c r="I789" s="567">
        <v>3.25</v>
      </c>
      <c r="J789" s="567">
        <v>0</v>
      </c>
      <c r="K789" s="52">
        <f t="shared" si="345"/>
        <v>6.5</v>
      </c>
      <c r="L789" s="53"/>
      <c r="M789" s="53"/>
      <c r="N789" s="56"/>
      <c r="O789" s="531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66"/>
    </row>
    <row r="790" spans="1:57" s="48" customFormat="1" x14ac:dyDescent="0.2">
      <c r="A790" s="675" t="s">
        <v>690</v>
      </c>
      <c r="B790" s="743" t="s">
        <v>488</v>
      </c>
      <c r="C790" s="638" t="s">
        <v>393</v>
      </c>
      <c r="D790" s="46" t="s">
        <v>198</v>
      </c>
      <c r="E790" s="47">
        <f>E791+E792+E793</f>
        <v>13.314</v>
      </c>
      <c r="F790" s="47">
        <f t="shared" ref="F790:J790" si="354">F791+F792+F793</f>
        <v>0</v>
      </c>
      <c r="G790" s="47">
        <f t="shared" si="354"/>
        <v>0</v>
      </c>
      <c r="H790" s="47">
        <f t="shared" si="354"/>
        <v>6.657</v>
      </c>
      <c r="I790" s="47">
        <f t="shared" si="354"/>
        <v>6.657</v>
      </c>
      <c r="J790" s="47">
        <f t="shared" si="354"/>
        <v>0</v>
      </c>
      <c r="K790" s="52">
        <f t="shared" si="345"/>
        <v>13.314</v>
      </c>
      <c r="L790" s="47" t="s">
        <v>783</v>
      </c>
      <c r="M790" s="47">
        <v>20.2</v>
      </c>
      <c r="N790" s="103">
        <v>7</v>
      </c>
      <c r="O790" s="760" t="s">
        <v>221</v>
      </c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6"/>
    </row>
    <row r="791" spans="1:57" s="48" customFormat="1" x14ac:dyDescent="0.2">
      <c r="A791" s="676"/>
      <c r="B791" s="744"/>
      <c r="C791" s="639"/>
      <c r="D791" s="470">
        <v>2020</v>
      </c>
      <c r="E791" s="567">
        <f t="shared" si="352"/>
        <v>3.6360000000000001</v>
      </c>
      <c r="F791" s="567">
        <v>0</v>
      </c>
      <c r="G791" s="567">
        <v>0</v>
      </c>
      <c r="H791" s="567">
        <v>1.8180000000000001</v>
      </c>
      <c r="I791" s="567">
        <v>1.8180000000000001</v>
      </c>
      <c r="J791" s="567">
        <v>0</v>
      </c>
      <c r="K791" s="52">
        <f t="shared" si="345"/>
        <v>3.6360000000000001</v>
      </c>
      <c r="L791" s="53"/>
      <c r="M791" s="53"/>
      <c r="N791" s="56"/>
      <c r="O791" s="776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66"/>
    </row>
    <row r="792" spans="1:57" s="48" customFormat="1" x14ac:dyDescent="0.2">
      <c r="A792" s="676"/>
      <c r="B792" s="744"/>
      <c r="C792" s="639"/>
      <c r="D792" s="470">
        <v>2021</v>
      </c>
      <c r="E792" s="567">
        <f t="shared" si="352"/>
        <v>6.1539999999999999</v>
      </c>
      <c r="F792" s="567">
        <v>0</v>
      </c>
      <c r="G792" s="567">
        <v>0</v>
      </c>
      <c r="H792" s="567">
        <v>3.077</v>
      </c>
      <c r="I792" s="567">
        <v>3.077</v>
      </c>
      <c r="J792" s="567">
        <v>0</v>
      </c>
      <c r="K792" s="52">
        <f t="shared" si="345"/>
        <v>6.1539999999999999</v>
      </c>
      <c r="L792" s="53"/>
      <c r="M792" s="53"/>
      <c r="N792" s="56"/>
      <c r="O792" s="777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66"/>
    </row>
    <row r="793" spans="1:57" s="48" customFormat="1" ht="26.25" customHeight="1" x14ac:dyDescent="0.2">
      <c r="A793" s="677"/>
      <c r="B793" s="745"/>
      <c r="C793" s="640"/>
      <c r="D793" s="470">
        <v>2022</v>
      </c>
      <c r="E793" s="567">
        <f t="shared" si="352"/>
        <v>3.524</v>
      </c>
      <c r="F793" s="567">
        <v>0</v>
      </c>
      <c r="G793" s="567">
        <v>0</v>
      </c>
      <c r="H793" s="567">
        <v>1.762</v>
      </c>
      <c r="I793" s="567">
        <v>1.762</v>
      </c>
      <c r="J793" s="567">
        <v>0</v>
      </c>
      <c r="K793" s="52">
        <f t="shared" si="345"/>
        <v>3.524</v>
      </c>
      <c r="L793" s="53"/>
      <c r="M793" s="53"/>
      <c r="N793" s="56"/>
      <c r="O793" s="531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66"/>
    </row>
    <row r="794" spans="1:57" s="48" customFormat="1" x14ac:dyDescent="0.2">
      <c r="A794" s="697" t="s">
        <v>784</v>
      </c>
      <c r="B794" s="705" t="s">
        <v>1123</v>
      </c>
      <c r="C794" s="631" t="s">
        <v>223</v>
      </c>
      <c r="D794" s="46" t="s">
        <v>198</v>
      </c>
      <c r="E794" s="47">
        <f>E795+E796</f>
        <v>18</v>
      </c>
      <c r="F794" s="47">
        <f t="shared" ref="F794:J794" si="355">F795+F796</f>
        <v>0</v>
      </c>
      <c r="G794" s="47">
        <f t="shared" si="355"/>
        <v>0</v>
      </c>
      <c r="H794" s="47">
        <f t="shared" si="355"/>
        <v>11</v>
      </c>
      <c r="I794" s="47">
        <f t="shared" si="355"/>
        <v>7</v>
      </c>
      <c r="J794" s="47">
        <f t="shared" si="355"/>
        <v>0</v>
      </c>
      <c r="K794" s="52">
        <f t="shared" si="345"/>
        <v>18</v>
      </c>
      <c r="L794" s="47" t="s">
        <v>535</v>
      </c>
      <c r="M794" s="47">
        <v>8</v>
      </c>
      <c r="N794" s="103">
        <v>5</v>
      </c>
      <c r="O794" s="695" t="s">
        <v>222</v>
      </c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  <c r="BC794" s="65"/>
      <c r="BD794" s="65"/>
      <c r="BE794" s="66"/>
    </row>
    <row r="795" spans="1:57" s="48" customFormat="1" x14ac:dyDescent="0.2">
      <c r="A795" s="698"/>
      <c r="B795" s="735"/>
      <c r="C795" s="701"/>
      <c r="D795" s="470">
        <v>2019</v>
      </c>
      <c r="E795" s="567">
        <f>F795+G795+H795+I795+J795</f>
        <v>10</v>
      </c>
      <c r="F795" s="567">
        <v>0</v>
      </c>
      <c r="G795" s="567">
        <v>0</v>
      </c>
      <c r="H795" s="567">
        <v>6</v>
      </c>
      <c r="I795" s="567">
        <v>4</v>
      </c>
      <c r="J795" s="567">
        <v>0</v>
      </c>
      <c r="K795" s="52">
        <f t="shared" si="345"/>
        <v>10</v>
      </c>
      <c r="L795" s="53"/>
      <c r="M795" s="53"/>
      <c r="N795" s="56"/>
      <c r="O795" s="700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66"/>
    </row>
    <row r="796" spans="1:57" s="48" customFormat="1" ht="80.25" customHeight="1" x14ac:dyDescent="0.2">
      <c r="A796" s="699"/>
      <c r="B796" s="770"/>
      <c r="C796" s="702"/>
      <c r="D796" s="470">
        <v>2020</v>
      </c>
      <c r="E796" s="567">
        <f>F796+G796+H796+I796+J796</f>
        <v>8</v>
      </c>
      <c r="F796" s="567">
        <v>0</v>
      </c>
      <c r="G796" s="567">
        <v>0</v>
      </c>
      <c r="H796" s="567">
        <v>5</v>
      </c>
      <c r="I796" s="567">
        <v>3</v>
      </c>
      <c r="J796" s="567">
        <v>0</v>
      </c>
      <c r="K796" s="52">
        <f t="shared" si="345"/>
        <v>8</v>
      </c>
      <c r="L796" s="104"/>
      <c r="M796" s="104"/>
      <c r="N796" s="99"/>
      <c r="O796" s="696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  <c r="BC796" s="65"/>
      <c r="BD796" s="65"/>
      <c r="BE796" s="66"/>
    </row>
    <row r="797" spans="1:57" s="226" customFormat="1" x14ac:dyDescent="0.2">
      <c r="A797" s="675" t="s">
        <v>691</v>
      </c>
      <c r="B797" s="631" t="s">
        <v>514</v>
      </c>
      <c r="C797" s="631" t="s">
        <v>393</v>
      </c>
      <c r="D797" s="46" t="s">
        <v>198</v>
      </c>
      <c r="E797" s="47">
        <f t="shared" ref="E797:I797" si="356">E798</f>
        <v>20</v>
      </c>
      <c r="F797" s="47">
        <f t="shared" si="356"/>
        <v>0</v>
      </c>
      <c r="G797" s="47">
        <f t="shared" si="356"/>
        <v>0</v>
      </c>
      <c r="H797" s="47">
        <f t="shared" si="356"/>
        <v>10</v>
      </c>
      <c r="I797" s="47">
        <f t="shared" si="356"/>
        <v>10</v>
      </c>
      <c r="J797" s="567">
        <v>0</v>
      </c>
      <c r="K797" s="52">
        <f t="shared" si="345"/>
        <v>20</v>
      </c>
      <c r="L797" s="81" t="s">
        <v>517</v>
      </c>
      <c r="M797" s="81">
        <v>6</v>
      </c>
      <c r="N797" s="105">
        <v>5</v>
      </c>
      <c r="O797" s="746" t="s">
        <v>525</v>
      </c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  <c r="BC797" s="65"/>
      <c r="BD797" s="65"/>
      <c r="BE797" s="225"/>
    </row>
    <row r="798" spans="1:57" s="226" customFormat="1" ht="36.75" customHeight="1" x14ac:dyDescent="0.2">
      <c r="A798" s="677"/>
      <c r="B798" s="632"/>
      <c r="C798" s="648"/>
      <c r="D798" s="470">
        <v>2022</v>
      </c>
      <c r="E798" s="567">
        <f>F798+G798+H798+I798+J798</f>
        <v>20</v>
      </c>
      <c r="F798" s="567">
        <v>0</v>
      </c>
      <c r="G798" s="567">
        <v>0</v>
      </c>
      <c r="H798" s="567">
        <v>10</v>
      </c>
      <c r="I798" s="567">
        <v>10</v>
      </c>
      <c r="J798" s="567">
        <v>0</v>
      </c>
      <c r="K798" s="52">
        <f t="shared" si="345"/>
        <v>20</v>
      </c>
      <c r="L798" s="81"/>
      <c r="M798" s="81"/>
      <c r="N798" s="82"/>
      <c r="O798" s="726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  <c r="BC798" s="65"/>
      <c r="BD798" s="65"/>
      <c r="BE798" s="225"/>
    </row>
    <row r="799" spans="1:57" s="226" customFormat="1" x14ac:dyDescent="0.2">
      <c r="A799" s="675" t="s">
        <v>692</v>
      </c>
      <c r="B799" s="631" t="s">
        <v>536</v>
      </c>
      <c r="C799" s="648"/>
      <c r="D799" s="46" t="s">
        <v>198</v>
      </c>
      <c r="E799" s="47">
        <f>E800+E801</f>
        <v>60</v>
      </c>
      <c r="F799" s="47">
        <f t="shared" ref="F799:I799" si="357">F800+F801</f>
        <v>0</v>
      </c>
      <c r="G799" s="47">
        <f t="shared" si="357"/>
        <v>0</v>
      </c>
      <c r="H799" s="47">
        <f t="shared" si="357"/>
        <v>30</v>
      </c>
      <c r="I799" s="47">
        <f t="shared" si="357"/>
        <v>30</v>
      </c>
      <c r="J799" s="567">
        <v>0</v>
      </c>
      <c r="K799" s="52">
        <f t="shared" si="345"/>
        <v>60</v>
      </c>
      <c r="L799" s="81" t="s">
        <v>224</v>
      </c>
      <c r="M799" s="81">
        <v>5</v>
      </c>
      <c r="N799" s="82"/>
      <c r="O799" s="760" t="s">
        <v>526</v>
      </c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  <c r="BC799" s="65"/>
      <c r="BD799" s="65"/>
      <c r="BE799" s="225"/>
    </row>
    <row r="800" spans="1:57" s="226" customFormat="1" x14ac:dyDescent="0.2">
      <c r="A800" s="676"/>
      <c r="B800" s="648"/>
      <c r="C800" s="648"/>
      <c r="D800" s="470">
        <v>2026</v>
      </c>
      <c r="E800" s="567">
        <f>F800+G800+H800+I800+J800</f>
        <v>30</v>
      </c>
      <c r="F800" s="567">
        <v>0</v>
      </c>
      <c r="G800" s="567">
        <v>0</v>
      </c>
      <c r="H800" s="567">
        <v>15</v>
      </c>
      <c r="I800" s="567">
        <v>15</v>
      </c>
      <c r="J800" s="567">
        <v>0</v>
      </c>
      <c r="K800" s="52">
        <f t="shared" si="345"/>
        <v>30</v>
      </c>
      <c r="L800" s="81"/>
      <c r="M800" s="81"/>
      <c r="N800" s="82"/>
      <c r="O800" s="776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  <c r="BC800" s="65"/>
      <c r="BD800" s="65"/>
      <c r="BE800" s="225"/>
    </row>
    <row r="801" spans="1:57" s="226" customFormat="1" ht="38.25" customHeight="1" x14ac:dyDescent="0.2">
      <c r="A801" s="677"/>
      <c r="B801" s="632"/>
      <c r="C801" s="648"/>
      <c r="D801" s="470">
        <v>2030</v>
      </c>
      <c r="E801" s="567">
        <f t="shared" ref="E801" si="358">F801+G801+H801+I801+J801</f>
        <v>30</v>
      </c>
      <c r="F801" s="567">
        <v>0</v>
      </c>
      <c r="G801" s="567">
        <v>0</v>
      </c>
      <c r="H801" s="567">
        <v>15</v>
      </c>
      <c r="I801" s="567">
        <v>15</v>
      </c>
      <c r="J801" s="567">
        <v>0</v>
      </c>
      <c r="K801" s="52">
        <f t="shared" si="345"/>
        <v>30</v>
      </c>
      <c r="L801" s="81"/>
      <c r="M801" s="81"/>
      <c r="N801" s="82"/>
      <c r="O801" s="777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  <c r="BC801" s="65"/>
      <c r="BD801" s="65"/>
      <c r="BE801" s="225"/>
    </row>
    <row r="802" spans="1:57" s="226" customFormat="1" x14ac:dyDescent="0.2">
      <c r="A802" s="675" t="s">
        <v>693</v>
      </c>
      <c r="B802" s="631" t="s">
        <v>597</v>
      </c>
      <c r="C802" s="648"/>
      <c r="D802" s="46" t="s">
        <v>198</v>
      </c>
      <c r="E802" s="47">
        <f>E803+E804</f>
        <v>8</v>
      </c>
      <c r="F802" s="47">
        <f t="shared" ref="F802:I802" si="359">F803+F804</f>
        <v>0</v>
      </c>
      <c r="G802" s="47">
        <f t="shared" si="359"/>
        <v>0</v>
      </c>
      <c r="H802" s="47">
        <f t="shared" si="359"/>
        <v>4</v>
      </c>
      <c r="I802" s="47">
        <f t="shared" si="359"/>
        <v>4</v>
      </c>
      <c r="J802" s="567">
        <v>0</v>
      </c>
      <c r="K802" s="52">
        <f t="shared" si="345"/>
        <v>8</v>
      </c>
      <c r="L802" s="82" t="s">
        <v>522</v>
      </c>
      <c r="M802" s="81">
        <v>2.4</v>
      </c>
      <c r="N802" s="82"/>
      <c r="O802" s="760" t="s">
        <v>527</v>
      </c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  <c r="BC802" s="65"/>
      <c r="BD802" s="65"/>
      <c r="BE802" s="225"/>
    </row>
    <row r="803" spans="1:57" s="226" customFormat="1" x14ac:dyDescent="0.2">
      <c r="A803" s="676"/>
      <c r="B803" s="701"/>
      <c r="C803" s="648"/>
      <c r="D803" s="470">
        <v>2020</v>
      </c>
      <c r="E803" s="567">
        <f>F803+G803+H803+I803+J803</f>
        <v>4</v>
      </c>
      <c r="F803" s="567">
        <v>0</v>
      </c>
      <c r="G803" s="567">
        <v>0</v>
      </c>
      <c r="H803" s="567">
        <v>2</v>
      </c>
      <c r="I803" s="567">
        <v>2</v>
      </c>
      <c r="J803" s="567">
        <v>0</v>
      </c>
      <c r="K803" s="52">
        <f t="shared" si="345"/>
        <v>4</v>
      </c>
      <c r="L803" s="81"/>
      <c r="M803" s="81"/>
      <c r="N803" s="82"/>
      <c r="O803" s="776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  <c r="BC803" s="65"/>
      <c r="BD803" s="65"/>
      <c r="BE803" s="225"/>
    </row>
    <row r="804" spans="1:57" s="226" customFormat="1" ht="30.75" customHeight="1" x14ac:dyDescent="0.2">
      <c r="A804" s="677"/>
      <c r="B804" s="702"/>
      <c r="C804" s="648"/>
      <c r="D804" s="470">
        <v>2021</v>
      </c>
      <c r="E804" s="567">
        <f>F804+G804+H804+I804+J804</f>
        <v>4</v>
      </c>
      <c r="F804" s="567">
        <v>0</v>
      </c>
      <c r="G804" s="567">
        <v>0</v>
      </c>
      <c r="H804" s="567">
        <v>2</v>
      </c>
      <c r="I804" s="567">
        <v>2</v>
      </c>
      <c r="J804" s="567">
        <v>0</v>
      </c>
      <c r="K804" s="52">
        <f t="shared" si="345"/>
        <v>4</v>
      </c>
      <c r="L804" s="81"/>
      <c r="M804" s="81"/>
      <c r="N804" s="82"/>
      <c r="O804" s="777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  <c r="BC804" s="65"/>
      <c r="BD804" s="65"/>
      <c r="BE804" s="225"/>
    </row>
    <row r="805" spans="1:57" s="226" customFormat="1" x14ac:dyDescent="0.2">
      <c r="A805" s="675" t="s">
        <v>694</v>
      </c>
      <c r="B805" s="631" t="s">
        <v>537</v>
      </c>
      <c r="C805" s="648"/>
      <c r="D805" s="46" t="s">
        <v>198</v>
      </c>
      <c r="E805" s="47">
        <f>E806</f>
        <v>35</v>
      </c>
      <c r="F805" s="47">
        <f t="shared" ref="F805:I805" si="360">F806</f>
        <v>0</v>
      </c>
      <c r="G805" s="47">
        <f t="shared" si="360"/>
        <v>0</v>
      </c>
      <c r="H805" s="47">
        <f t="shared" si="360"/>
        <v>16.5</v>
      </c>
      <c r="I805" s="47">
        <f t="shared" si="360"/>
        <v>18.5</v>
      </c>
      <c r="J805" s="567">
        <v>0</v>
      </c>
      <c r="K805" s="52">
        <f t="shared" si="345"/>
        <v>35</v>
      </c>
      <c r="L805" s="81" t="s">
        <v>518</v>
      </c>
      <c r="M805" s="81">
        <v>10.5</v>
      </c>
      <c r="N805" s="82"/>
      <c r="O805" s="760" t="s">
        <v>219</v>
      </c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  <c r="BC805" s="65"/>
      <c r="BD805" s="65"/>
      <c r="BE805" s="225"/>
    </row>
    <row r="806" spans="1:57" s="226" customFormat="1" ht="27" customHeight="1" x14ac:dyDescent="0.2">
      <c r="A806" s="677"/>
      <c r="B806" s="702"/>
      <c r="C806" s="648"/>
      <c r="D806" s="470">
        <v>2022</v>
      </c>
      <c r="E806" s="567">
        <f>F806+G806+H806+I806+J806</f>
        <v>35</v>
      </c>
      <c r="F806" s="567">
        <v>0</v>
      </c>
      <c r="G806" s="567">
        <v>0</v>
      </c>
      <c r="H806" s="567">
        <v>16.5</v>
      </c>
      <c r="I806" s="567">
        <v>18.5</v>
      </c>
      <c r="J806" s="567">
        <v>0</v>
      </c>
      <c r="K806" s="52">
        <f t="shared" si="345"/>
        <v>35</v>
      </c>
      <c r="L806" s="81"/>
      <c r="M806" s="81"/>
      <c r="N806" s="82">
        <v>3</v>
      </c>
      <c r="O806" s="726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225"/>
    </row>
    <row r="807" spans="1:57" s="226" customFormat="1" x14ac:dyDescent="0.2">
      <c r="A807" s="675" t="s">
        <v>785</v>
      </c>
      <c r="B807" s="631" t="s">
        <v>515</v>
      </c>
      <c r="C807" s="701"/>
      <c r="D807" s="46" t="s">
        <v>198</v>
      </c>
      <c r="E807" s="47">
        <f t="shared" ref="E807:H807" si="361">E808+E809+E810</f>
        <v>26</v>
      </c>
      <c r="F807" s="567">
        <f t="shared" si="361"/>
        <v>0</v>
      </c>
      <c r="G807" s="47">
        <f t="shared" si="361"/>
        <v>0</v>
      </c>
      <c r="H807" s="47">
        <f t="shared" si="361"/>
        <v>13</v>
      </c>
      <c r="I807" s="47">
        <f>I808+I809+I810</f>
        <v>13</v>
      </c>
      <c r="J807" s="567">
        <v>0</v>
      </c>
      <c r="K807" s="52">
        <f t="shared" si="345"/>
        <v>26</v>
      </c>
      <c r="L807" s="81" t="s">
        <v>522</v>
      </c>
      <c r="M807" s="81">
        <v>15</v>
      </c>
      <c r="N807" s="82">
        <v>2</v>
      </c>
      <c r="O807" s="695" t="s">
        <v>219</v>
      </c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  <c r="BC807" s="65"/>
      <c r="BD807" s="65"/>
      <c r="BE807" s="225"/>
    </row>
    <row r="808" spans="1:57" s="226" customFormat="1" x14ac:dyDescent="0.2">
      <c r="A808" s="676"/>
      <c r="B808" s="648"/>
      <c r="C808" s="701"/>
      <c r="D808" s="470">
        <v>2020</v>
      </c>
      <c r="E808" s="567">
        <f>F808+G808+H808+I808+J808</f>
        <v>9</v>
      </c>
      <c r="F808" s="567">
        <v>0</v>
      </c>
      <c r="G808" s="567">
        <v>0</v>
      </c>
      <c r="H808" s="567">
        <v>4.5</v>
      </c>
      <c r="I808" s="567">
        <v>4.5</v>
      </c>
      <c r="J808" s="567">
        <v>0</v>
      </c>
      <c r="K808" s="52">
        <f t="shared" si="345"/>
        <v>9</v>
      </c>
      <c r="L808" s="81"/>
      <c r="M808" s="81"/>
      <c r="N808" s="82"/>
      <c r="O808" s="717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225"/>
    </row>
    <row r="809" spans="1:57" s="226" customFormat="1" x14ac:dyDescent="0.2">
      <c r="A809" s="676"/>
      <c r="B809" s="648"/>
      <c r="C809" s="701"/>
      <c r="D809" s="470">
        <v>2021</v>
      </c>
      <c r="E809" s="567">
        <f>F809+G809+H809+I809+J809</f>
        <v>9</v>
      </c>
      <c r="F809" s="567">
        <v>0</v>
      </c>
      <c r="G809" s="567">
        <v>0</v>
      </c>
      <c r="H809" s="567">
        <v>4.5</v>
      </c>
      <c r="I809" s="567">
        <v>4.5</v>
      </c>
      <c r="J809" s="567">
        <v>0</v>
      </c>
      <c r="K809" s="52">
        <f t="shared" si="345"/>
        <v>9</v>
      </c>
      <c r="L809" s="81"/>
      <c r="M809" s="81"/>
      <c r="N809" s="82"/>
      <c r="O809" s="717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225"/>
    </row>
    <row r="810" spans="1:57" s="226" customFormat="1" x14ac:dyDescent="0.2">
      <c r="A810" s="677"/>
      <c r="B810" s="632"/>
      <c r="C810" s="701"/>
      <c r="D810" s="470">
        <v>2023</v>
      </c>
      <c r="E810" s="567">
        <f>F810+G810+H810+I810+J810</f>
        <v>8</v>
      </c>
      <c r="F810" s="567">
        <v>0</v>
      </c>
      <c r="G810" s="567">
        <v>0</v>
      </c>
      <c r="H810" s="567">
        <v>4</v>
      </c>
      <c r="I810" s="567">
        <v>4</v>
      </c>
      <c r="J810" s="567">
        <v>0</v>
      </c>
      <c r="K810" s="52">
        <f t="shared" si="345"/>
        <v>8</v>
      </c>
      <c r="L810" s="81"/>
      <c r="M810" s="81"/>
      <c r="N810" s="82"/>
      <c r="O810" s="717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  <c r="BC810" s="65"/>
      <c r="BD810" s="65"/>
      <c r="BE810" s="225"/>
    </row>
    <row r="811" spans="1:57" s="226" customFormat="1" x14ac:dyDescent="0.2">
      <c r="A811" s="675" t="s">
        <v>787</v>
      </c>
      <c r="B811" s="631" t="s">
        <v>786</v>
      </c>
      <c r="C811" s="701"/>
      <c r="D811" s="46" t="s">
        <v>198</v>
      </c>
      <c r="E811" s="47">
        <f t="shared" ref="E811:H811" si="362">E812+E813+E814</f>
        <v>14</v>
      </c>
      <c r="F811" s="567">
        <f t="shared" si="362"/>
        <v>0</v>
      </c>
      <c r="G811" s="47">
        <f t="shared" si="362"/>
        <v>0</v>
      </c>
      <c r="H811" s="47">
        <f t="shared" si="362"/>
        <v>7</v>
      </c>
      <c r="I811" s="47">
        <f>I812+I813+I814</f>
        <v>7</v>
      </c>
      <c r="J811" s="567">
        <v>0</v>
      </c>
      <c r="K811" s="52">
        <f t="shared" si="345"/>
        <v>14</v>
      </c>
      <c r="L811" s="81" t="s">
        <v>472</v>
      </c>
      <c r="M811" s="81">
        <v>4.2</v>
      </c>
      <c r="N811" s="82">
        <v>4</v>
      </c>
      <c r="O811" s="767" t="s">
        <v>528</v>
      </c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225"/>
    </row>
    <row r="812" spans="1:57" s="226" customFormat="1" x14ac:dyDescent="0.2">
      <c r="A812" s="676"/>
      <c r="B812" s="648"/>
      <c r="C812" s="701"/>
      <c r="D812" s="470">
        <v>2020</v>
      </c>
      <c r="E812" s="567">
        <f>F812+G812+H812+I812+J812</f>
        <v>4</v>
      </c>
      <c r="F812" s="567">
        <v>0</v>
      </c>
      <c r="G812" s="567">
        <v>0</v>
      </c>
      <c r="H812" s="567">
        <v>2</v>
      </c>
      <c r="I812" s="567">
        <v>2</v>
      </c>
      <c r="J812" s="567">
        <v>0</v>
      </c>
      <c r="K812" s="52">
        <f t="shared" si="345"/>
        <v>4</v>
      </c>
      <c r="L812" s="81"/>
      <c r="M812" s="81"/>
      <c r="N812" s="82"/>
      <c r="O812" s="72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225"/>
    </row>
    <row r="813" spans="1:57" s="226" customFormat="1" x14ac:dyDescent="0.2">
      <c r="A813" s="676"/>
      <c r="B813" s="648"/>
      <c r="C813" s="701"/>
      <c r="D813" s="470">
        <v>2021</v>
      </c>
      <c r="E813" s="567">
        <f>F813+G813+H813+I813+J813</f>
        <v>6</v>
      </c>
      <c r="F813" s="567">
        <v>0</v>
      </c>
      <c r="G813" s="567">
        <v>0</v>
      </c>
      <c r="H813" s="567">
        <v>3</v>
      </c>
      <c r="I813" s="567">
        <v>3</v>
      </c>
      <c r="J813" s="567">
        <v>0</v>
      </c>
      <c r="K813" s="52">
        <f t="shared" si="345"/>
        <v>6</v>
      </c>
      <c r="L813" s="81"/>
      <c r="M813" s="81"/>
      <c r="N813" s="82"/>
      <c r="O813" s="72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225"/>
    </row>
    <row r="814" spans="1:57" s="226" customFormat="1" x14ac:dyDescent="0.2">
      <c r="A814" s="677"/>
      <c r="B814" s="632"/>
      <c r="C814" s="701"/>
      <c r="D814" s="470">
        <v>2022</v>
      </c>
      <c r="E814" s="567">
        <f>F814+G814+H814+I814+J814</f>
        <v>4</v>
      </c>
      <c r="F814" s="567">
        <v>0</v>
      </c>
      <c r="G814" s="567">
        <v>0</v>
      </c>
      <c r="H814" s="567">
        <v>2</v>
      </c>
      <c r="I814" s="567">
        <v>2</v>
      </c>
      <c r="J814" s="567">
        <v>0</v>
      </c>
      <c r="K814" s="52">
        <f t="shared" si="345"/>
        <v>4</v>
      </c>
      <c r="L814" s="81"/>
      <c r="M814" s="81"/>
      <c r="N814" s="82"/>
      <c r="O814" s="726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225"/>
    </row>
    <row r="815" spans="1:57" s="226" customFormat="1" x14ac:dyDescent="0.2">
      <c r="A815" s="675" t="s">
        <v>788</v>
      </c>
      <c r="B815" s="638" t="s">
        <v>524</v>
      </c>
      <c r="C815" s="701"/>
      <c r="D815" s="46" t="s">
        <v>198</v>
      </c>
      <c r="E815" s="47">
        <f>E816+E817+E818</f>
        <v>14.370000000000001</v>
      </c>
      <c r="F815" s="47">
        <f t="shared" ref="F815:J815" si="363">F816+F817+F818</f>
        <v>0</v>
      </c>
      <c r="G815" s="47">
        <f t="shared" si="363"/>
        <v>0</v>
      </c>
      <c r="H815" s="47">
        <f t="shared" si="363"/>
        <v>12.132999999999999</v>
      </c>
      <c r="I815" s="47">
        <f>I816+I817+I818</f>
        <v>2.2370000000000001</v>
      </c>
      <c r="J815" s="47">
        <f t="shared" si="363"/>
        <v>0</v>
      </c>
      <c r="K815" s="52">
        <f t="shared" si="345"/>
        <v>14.37</v>
      </c>
      <c r="L815" s="81" t="s">
        <v>519</v>
      </c>
      <c r="M815" s="81">
        <v>2.1</v>
      </c>
      <c r="N815" s="82">
        <v>2</v>
      </c>
      <c r="O815" s="769" t="s">
        <v>529</v>
      </c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225"/>
    </row>
    <row r="816" spans="1:57" s="226" customFormat="1" x14ac:dyDescent="0.2">
      <c r="A816" s="676"/>
      <c r="B816" s="639"/>
      <c r="C816" s="701"/>
      <c r="D816" s="470">
        <v>2020</v>
      </c>
      <c r="E816" s="567">
        <f>F816+G816+H816+I816+J816</f>
        <v>3</v>
      </c>
      <c r="F816" s="567">
        <v>0</v>
      </c>
      <c r="G816" s="567">
        <v>0</v>
      </c>
      <c r="H816" s="567">
        <v>2.6</v>
      </c>
      <c r="I816" s="567">
        <v>0.4</v>
      </c>
      <c r="J816" s="567">
        <v>0</v>
      </c>
      <c r="K816" s="52">
        <f t="shared" si="345"/>
        <v>3</v>
      </c>
      <c r="L816" s="81"/>
      <c r="M816" s="81"/>
      <c r="N816" s="82"/>
      <c r="O816" s="770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225"/>
    </row>
    <row r="817" spans="1:57" s="226" customFormat="1" x14ac:dyDescent="0.2">
      <c r="A817" s="676"/>
      <c r="B817" s="639"/>
      <c r="C817" s="701"/>
      <c r="D817" s="470">
        <v>2021</v>
      </c>
      <c r="E817" s="567">
        <f t="shared" ref="E817:E818" si="364">F817+G817+H817+I817+J817</f>
        <v>3.7</v>
      </c>
      <c r="F817" s="567">
        <v>0</v>
      </c>
      <c r="G817" s="567">
        <v>0</v>
      </c>
      <c r="H817" s="567">
        <v>2.73</v>
      </c>
      <c r="I817" s="567">
        <v>0.97</v>
      </c>
      <c r="J817" s="567">
        <v>0</v>
      </c>
      <c r="K817" s="52">
        <f t="shared" si="345"/>
        <v>3.7</v>
      </c>
      <c r="L817" s="81"/>
      <c r="M817" s="81"/>
      <c r="N817" s="82"/>
      <c r="O817" s="51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225"/>
    </row>
    <row r="818" spans="1:57" s="226" customFormat="1" x14ac:dyDescent="0.2">
      <c r="A818" s="677"/>
      <c r="B818" s="640"/>
      <c r="C818" s="701"/>
      <c r="D818" s="470">
        <v>2022</v>
      </c>
      <c r="E818" s="567">
        <f t="shared" si="364"/>
        <v>7.67</v>
      </c>
      <c r="F818" s="567">
        <v>0</v>
      </c>
      <c r="G818" s="567">
        <v>0</v>
      </c>
      <c r="H818" s="567">
        <v>6.8029999999999999</v>
      </c>
      <c r="I818" s="567">
        <v>0.86699999999999999</v>
      </c>
      <c r="J818" s="567">
        <v>0</v>
      </c>
      <c r="K818" s="52">
        <f t="shared" si="345"/>
        <v>7.67</v>
      </c>
      <c r="L818" s="81"/>
      <c r="M818" s="81"/>
      <c r="N818" s="82"/>
      <c r="O818" s="51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225"/>
    </row>
    <row r="819" spans="1:57" s="226" customFormat="1" x14ac:dyDescent="0.2">
      <c r="A819" s="675" t="s">
        <v>789</v>
      </c>
      <c r="B819" s="631" t="s">
        <v>523</v>
      </c>
      <c r="C819" s="701"/>
      <c r="D819" s="46" t="s">
        <v>198</v>
      </c>
      <c r="E819" s="47">
        <f t="shared" ref="E819:I819" si="365">E820</f>
        <v>4</v>
      </c>
      <c r="F819" s="47">
        <f t="shared" si="365"/>
        <v>0</v>
      </c>
      <c r="G819" s="47">
        <f t="shared" si="365"/>
        <v>0</v>
      </c>
      <c r="H819" s="47">
        <f t="shared" si="365"/>
        <v>2</v>
      </c>
      <c r="I819" s="47">
        <f t="shared" si="365"/>
        <v>2</v>
      </c>
      <c r="J819" s="567">
        <v>0</v>
      </c>
      <c r="K819" s="52">
        <f t="shared" si="345"/>
        <v>4</v>
      </c>
      <c r="L819" s="81" t="s">
        <v>520</v>
      </c>
      <c r="M819" s="81">
        <v>1.2</v>
      </c>
      <c r="N819" s="82">
        <v>1</v>
      </c>
      <c r="O819" s="765" t="s">
        <v>530</v>
      </c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225"/>
    </row>
    <row r="820" spans="1:57" s="226" customFormat="1" ht="46.5" customHeight="1" x14ac:dyDescent="0.2">
      <c r="A820" s="677"/>
      <c r="B820" s="632"/>
      <c r="C820" s="701"/>
      <c r="D820" s="470">
        <v>2022</v>
      </c>
      <c r="E820" s="567">
        <f>F820+G820+H820+I820+J820</f>
        <v>4</v>
      </c>
      <c r="F820" s="567">
        <v>0</v>
      </c>
      <c r="G820" s="567">
        <v>0</v>
      </c>
      <c r="H820" s="567">
        <v>2</v>
      </c>
      <c r="I820" s="567">
        <v>2</v>
      </c>
      <c r="J820" s="567">
        <v>0</v>
      </c>
      <c r="K820" s="52">
        <f t="shared" si="345"/>
        <v>4</v>
      </c>
      <c r="L820" s="81"/>
      <c r="M820" s="81"/>
      <c r="N820" s="82"/>
      <c r="O820" s="778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225"/>
    </row>
    <row r="821" spans="1:57" s="226" customFormat="1" x14ac:dyDescent="0.2">
      <c r="A821" s="675" t="s">
        <v>790</v>
      </c>
      <c r="B821" s="631" t="s">
        <v>532</v>
      </c>
      <c r="C821" s="701"/>
      <c r="D821" s="46" t="s">
        <v>198</v>
      </c>
      <c r="E821" s="47">
        <f t="shared" ref="E821:I821" si="366">E822</f>
        <v>16</v>
      </c>
      <c r="F821" s="47">
        <f t="shared" si="366"/>
        <v>0</v>
      </c>
      <c r="G821" s="47">
        <f t="shared" si="366"/>
        <v>0</v>
      </c>
      <c r="H821" s="47">
        <f t="shared" si="366"/>
        <v>8</v>
      </c>
      <c r="I821" s="47">
        <f t="shared" si="366"/>
        <v>8</v>
      </c>
      <c r="J821" s="567">
        <v>0</v>
      </c>
      <c r="K821" s="52">
        <f t="shared" si="345"/>
        <v>16</v>
      </c>
      <c r="L821" s="81" t="s">
        <v>472</v>
      </c>
      <c r="M821" s="81">
        <v>1.2</v>
      </c>
      <c r="N821" s="82">
        <v>4</v>
      </c>
      <c r="O821" s="765" t="s">
        <v>531</v>
      </c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  <c r="BC821" s="65"/>
      <c r="BD821" s="65"/>
      <c r="BE821" s="225"/>
    </row>
    <row r="822" spans="1:57" s="226" customFormat="1" ht="42" customHeight="1" x14ac:dyDescent="0.2">
      <c r="A822" s="677"/>
      <c r="B822" s="632"/>
      <c r="C822" s="701"/>
      <c r="D822" s="470">
        <v>2021</v>
      </c>
      <c r="E822" s="567">
        <f>F822+G822+H822+I822+J822</f>
        <v>16</v>
      </c>
      <c r="F822" s="567">
        <v>0</v>
      </c>
      <c r="G822" s="567">
        <v>0</v>
      </c>
      <c r="H822" s="567">
        <v>8</v>
      </c>
      <c r="I822" s="567">
        <v>8</v>
      </c>
      <c r="J822" s="567">
        <v>0</v>
      </c>
      <c r="K822" s="52">
        <f t="shared" si="345"/>
        <v>16</v>
      </c>
      <c r="L822" s="81"/>
      <c r="M822" s="81"/>
      <c r="N822" s="82"/>
      <c r="O822" s="778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65"/>
      <c r="BD822" s="65"/>
      <c r="BE822" s="225"/>
    </row>
    <row r="823" spans="1:57" s="226" customFormat="1" x14ac:dyDescent="0.2">
      <c r="A823" s="675" t="s">
        <v>791</v>
      </c>
      <c r="B823" s="631" t="s">
        <v>516</v>
      </c>
      <c r="C823" s="701"/>
      <c r="D823" s="46" t="s">
        <v>198</v>
      </c>
      <c r="E823" s="47">
        <f>E824+E825</f>
        <v>7</v>
      </c>
      <c r="F823" s="47">
        <f t="shared" ref="F823:J823" si="367">F824+F825</f>
        <v>0</v>
      </c>
      <c r="G823" s="47">
        <f t="shared" si="367"/>
        <v>0</v>
      </c>
      <c r="H823" s="47">
        <f t="shared" si="367"/>
        <v>3.5</v>
      </c>
      <c r="I823" s="47">
        <f>I824+I825</f>
        <v>3.5</v>
      </c>
      <c r="J823" s="47">
        <f t="shared" si="367"/>
        <v>0</v>
      </c>
      <c r="K823" s="52">
        <f t="shared" si="345"/>
        <v>7</v>
      </c>
      <c r="L823" s="81" t="s">
        <v>521</v>
      </c>
      <c r="M823" s="81">
        <v>2.1</v>
      </c>
      <c r="N823" s="82"/>
      <c r="O823" s="760" t="s">
        <v>538</v>
      </c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225"/>
    </row>
    <row r="824" spans="1:57" s="226" customFormat="1" x14ac:dyDescent="0.2">
      <c r="A824" s="676"/>
      <c r="B824" s="648"/>
      <c r="C824" s="701"/>
      <c r="D824" s="470">
        <v>2020</v>
      </c>
      <c r="E824" s="567">
        <f>F824+G824+H824+I824+J824</f>
        <v>4</v>
      </c>
      <c r="F824" s="567">
        <v>0</v>
      </c>
      <c r="G824" s="567">
        <v>0</v>
      </c>
      <c r="H824" s="567">
        <v>2</v>
      </c>
      <c r="I824" s="567">
        <v>2</v>
      </c>
      <c r="J824" s="567">
        <v>0</v>
      </c>
      <c r="K824" s="52">
        <f t="shared" si="345"/>
        <v>4</v>
      </c>
      <c r="L824" s="81"/>
      <c r="M824" s="81"/>
      <c r="N824" s="82"/>
      <c r="O824" s="776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  <c r="BC824" s="65"/>
      <c r="BD824" s="65"/>
      <c r="BE824" s="225"/>
    </row>
    <row r="825" spans="1:57" s="226" customFormat="1" x14ac:dyDescent="0.2">
      <c r="A825" s="677"/>
      <c r="B825" s="632"/>
      <c r="C825" s="701"/>
      <c r="D825" s="470">
        <v>2021</v>
      </c>
      <c r="E825" s="567">
        <f>F825+G825+H825+I825+J825</f>
        <v>3</v>
      </c>
      <c r="F825" s="567">
        <v>0</v>
      </c>
      <c r="G825" s="567">
        <v>0</v>
      </c>
      <c r="H825" s="567">
        <v>1.5</v>
      </c>
      <c r="I825" s="567">
        <v>1.5</v>
      </c>
      <c r="J825" s="567">
        <v>0</v>
      </c>
      <c r="K825" s="52">
        <f t="shared" si="345"/>
        <v>3</v>
      </c>
      <c r="L825" s="81"/>
      <c r="M825" s="81"/>
      <c r="N825" s="82"/>
      <c r="O825" s="777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  <c r="BC825" s="65"/>
      <c r="BD825" s="65"/>
      <c r="BE825" s="225"/>
    </row>
    <row r="826" spans="1:57" s="226" customFormat="1" x14ac:dyDescent="0.2">
      <c r="A826" s="680" t="s">
        <v>792</v>
      </c>
      <c r="B826" s="678" t="s">
        <v>1001</v>
      </c>
      <c r="C826" s="701"/>
      <c r="D826" s="46" t="s">
        <v>198</v>
      </c>
      <c r="E826" s="47">
        <f>E827+E828</f>
        <v>7</v>
      </c>
      <c r="F826" s="47">
        <f t="shared" ref="F826:I826" si="368">F827+F828</f>
        <v>0</v>
      </c>
      <c r="G826" s="47">
        <f t="shared" si="368"/>
        <v>0</v>
      </c>
      <c r="H826" s="47">
        <f t="shared" si="368"/>
        <v>3.5</v>
      </c>
      <c r="I826" s="47">
        <f t="shared" si="368"/>
        <v>3.5</v>
      </c>
      <c r="J826" s="567">
        <v>0</v>
      </c>
      <c r="K826" s="52">
        <f t="shared" si="345"/>
        <v>7</v>
      </c>
      <c r="L826" s="81" t="s">
        <v>519</v>
      </c>
      <c r="M826" s="81"/>
      <c r="N826" s="82">
        <v>4</v>
      </c>
      <c r="O826" s="695" t="s">
        <v>533</v>
      </c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  <c r="BC826" s="65"/>
      <c r="BD826" s="65"/>
      <c r="BE826" s="225"/>
    </row>
    <row r="827" spans="1:57" s="226" customFormat="1" x14ac:dyDescent="0.2">
      <c r="A827" s="680"/>
      <c r="B827" s="678"/>
      <c r="C827" s="701"/>
      <c r="D827" s="470">
        <v>2020</v>
      </c>
      <c r="E827" s="567">
        <f>F827+G827+H827+I827+J827</f>
        <v>4</v>
      </c>
      <c r="F827" s="567">
        <v>0</v>
      </c>
      <c r="G827" s="567">
        <v>0</v>
      </c>
      <c r="H827" s="567">
        <v>2</v>
      </c>
      <c r="I827" s="567">
        <v>2</v>
      </c>
      <c r="J827" s="567">
        <v>0</v>
      </c>
      <c r="K827" s="52">
        <f t="shared" si="345"/>
        <v>4</v>
      </c>
      <c r="L827" s="81"/>
      <c r="M827" s="81"/>
      <c r="N827" s="82"/>
      <c r="O827" s="700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  <c r="BC827" s="65"/>
      <c r="BD827" s="65"/>
      <c r="BE827" s="225"/>
    </row>
    <row r="828" spans="1:57" s="226" customFormat="1" x14ac:dyDescent="0.2">
      <c r="A828" s="680"/>
      <c r="B828" s="678"/>
      <c r="C828" s="702"/>
      <c r="D828" s="470">
        <v>2021</v>
      </c>
      <c r="E828" s="567">
        <f>F828+G828+H828+I828+J828</f>
        <v>3</v>
      </c>
      <c r="F828" s="567">
        <v>0</v>
      </c>
      <c r="G828" s="567">
        <v>0</v>
      </c>
      <c r="H828" s="567">
        <v>1.5</v>
      </c>
      <c r="I828" s="567">
        <v>1.5</v>
      </c>
      <c r="J828" s="567">
        <v>0</v>
      </c>
      <c r="K828" s="52">
        <f t="shared" si="345"/>
        <v>3</v>
      </c>
      <c r="L828" s="81"/>
      <c r="M828" s="81"/>
      <c r="N828" s="82"/>
      <c r="O828" s="696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  <c r="BC828" s="65"/>
      <c r="BD828" s="65"/>
      <c r="BE828" s="225"/>
    </row>
    <row r="829" spans="1:57" s="226" customFormat="1" ht="24" customHeight="1" x14ac:dyDescent="0.2">
      <c r="A829" s="714" t="s">
        <v>695</v>
      </c>
      <c r="B829" s="649" t="s">
        <v>610</v>
      </c>
      <c r="C829" s="758"/>
      <c r="D829" s="59" t="s">
        <v>198</v>
      </c>
      <c r="E829" s="96">
        <f>SUM(E830:E841)</f>
        <v>118710.17846888048</v>
      </c>
      <c r="F829" s="96">
        <f>SUM(F830:F841)</f>
        <v>2.46846888048128</v>
      </c>
      <c r="G829" s="96">
        <f t="shared" ref="G829:J829" si="369">SUM(G830:G841)</f>
        <v>0</v>
      </c>
      <c r="H829" s="96">
        <f t="shared" si="369"/>
        <v>0</v>
      </c>
      <c r="I829" s="96">
        <f>SUM(I830:I841)</f>
        <v>118707.70999999999</v>
      </c>
      <c r="J829" s="96">
        <f t="shared" si="369"/>
        <v>0</v>
      </c>
      <c r="K829" s="52">
        <f t="shared" si="345"/>
        <v>118710.17846888048</v>
      </c>
      <c r="L829" s="81"/>
      <c r="M829" s="81"/>
      <c r="N829" s="82"/>
      <c r="O829" s="494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  <c r="BC829" s="65"/>
      <c r="BD829" s="65"/>
      <c r="BE829" s="225"/>
    </row>
    <row r="830" spans="1:57" s="226" customFormat="1" x14ac:dyDescent="0.2">
      <c r="A830" s="715"/>
      <c r="B830" s="701"/>
      <c r="C830" s="701"/>
      <c r="D830" s="59">
        <v>2019</v>
      </c>
      <c r="E830" s="96">
        <f>E843+E892+E918+E944</f>
        <v>28255.242699999999</v>
      </c>
      <c r="F830" s="96">
        <f t="shared" ref="E830:J841" si="370">F843+F892+F918+F944</f>
        <v>6.2700000000000006E-2</v>
      </c>
      <c r="G830" s="96">
        <f t="shared" si="370"/>
        <v>0</v>
      </c>
      <c r="H830" s="96">
        <f t="shared" si="370"/>
        <v>0</v>
      </c>
      <c r="I830" s="96">
        <f t="shared" si="370"/>
        <v>28255.18</v>
      </c>
      <c r="J830" s="96">
        <f t="shared" si="370"/>
        <v>0</v>
      </c>
      <c r="K830" s="52">
        <f t="shared" si="345"/>
        <v>28255.242699999999</v>
      </c>
      <c r="L830" s="81"/>
      <c r="M830" s="81"/>
      <c r="N830" s="82"/>
      <c r="O830" s="494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  <c r="BC830" s="65"/>
      <c r="BD830" s="65"/>
      <c r="BE830" s="225"/>
    </row>
    <row r="831" spans="1:57" s="226" customFormat="1" x14ac:dyDescent="0.2">
      <c r="A831" s="715"/>
      <c r="B831" s="701"/>
      <c r="C831" s="701"/>
      <c r="D831" s="59">
        <v>2020</v>
      </c>
      <c r="E831" s="96">
        <f>E844+E893+E919+E945</f>
        <v>40983.826150000008</v>
      </c>
      <c r="F831" s="96">
        <f t="shared" si="370"/>
        <v>0.17615</v>
      </c>
      <c r="G831" s="96">
        <f t="shared" si="370"/>
        <v>0</v>
      </c>
      <c r="H831" s="96">
        <f t="shared" si="370"/>
        <v>0</v>
      </c>
      <c r="I831" s="96">
        <f t="shared" si="370"/>
        <v>40983.65</v>
      </c>
      <c r="J831" s="96">
        <f t="shared" si="370"/>
        <v>0</v>
      </c>
      <c r="K831" s="52">
        <f t="shared" si="345"/>
        <v>40983.826150000001</v>
      </c>
      <c r="L831" s="81"/>
      <c r="M831" s="81"/>
      <c r="N831" s="82"/>
      <c r="O831" s="494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  <c r="BC831" s="65"/>
      <c r="BD831" s="65"/>
      <c r="BE831" s="225"/>
    </row>
    <row r="832" spans="1:57" s="226" customFormat="1" x14ac:dyDescent="0.2">
      <c r="A832" s="715"/>
      <c r="B832" s="701"/>
      <c r="C832" s="701"/>
      <c r="D832" s="59">
        <v>2021</v>
      </c>
      <c r="E832" s="96">
        <f t="shared" si="370"/>
        <v>29516.062819999996</v>
      </c>
      <c r="F832" s="96">
        <f t="shared" si="370"/>
        <v>0.18281999999999998</v>
      </c>
      <c r="G832" s="96">
        <f t="shared" si="370"/>
        <v>0</v>
      </c>
      <c r="H832" s="96">
        <f t="shared" si="370"/>
        <v>0</v>
      </c>
      <c r="I832" s="96">
        <f t="shared" si="370"/>
        <v>29515.879999999997</v>
      </c>
      <c r="J832" s="96">
        <f t="shared" si="370"/>
        <v>0</v>
      </c>
      <c r="K832" s="52">
        <f t="shared" si="345"/>
        <v>29516.062819999999</v>
      </c>
      <c r="L832" s="81"/>
      <c r="M832" s="81"/>
      <c r="N832" s="82"/>
      <c r="O832" s="494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  <c r="BC832" s="65"/>
      <c r="BD832" s="65"/>
      <c r="BE832" s="225"/>
    </row>
    <row r="833" spans="1:57" s="226" customFormat="1" x14ac:dyDescent="0.2">
      <c r="A833" s="715"/>
      <c r="B833" s="701"/>
      <c r="C833" s="701"/>
      <c r="D833" s="59">
        <v>2022</v>
      </c>
      <c r="E833" s="96">
        <f>E846+E895+E921+E947</f>
        <v>16169.187599999999</v>
      </c>
      <c r="F833" s="96">
        <f t="shared" si="370"/>
        <v>0.18759999999999999</v>
      </c>
      <c r="G833" s="96">
        <f t="shared" si="370"/>
        <v>0</v>
      </c>
      <c r="H833" s="96">
        <f t="shared" si="370"/>
        <v>0</v>
      </c>
      <c r="I833" s="96">
        <f t="shared" si="370"/>
        <v>16169</v>
      </c>
      <c r="J833" s="96">
        <f t="shared" si="370"/>
        <v>0</v>
      </c>
      <c r="K833" s="52">
        <f t="shared" si="345"/>
        <v>16169.187599999999</v>
      </c>
      <c r="L833" s="81"/>
      <c r="M833" s="81"/>
      <c r="N833" s="82"/>
      <c r="O833" s="494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225"/>
    </row>
    <row r="834" spans="1:57" s="226" customFormat="1" x14ac:dyDescent="0.2">
      <c r="A834" s="715"/>
      <c r="B834" s="701"/>
      <c r="C834" s="701"/>
      <c r="D834" s="59">
        <v>2023</v>
      </c>
      <c r="E834" s="96">
        <f>E847+E896+E922+E948</f>
        <v>3784.2055500000006</v>
      </c>
      <c r="F834" s="96">
        <f t="shared" si="370"/>
        <v>0.20555000000000001</v>
      </c>
      <c r="G834" s="96">
        <f t="shared" si="370"/>
        <v>0</v>
      </c>
      <c r="H834" s="96">
        <f t="shared" si="370"/>
        <v>0</v>
      </c>
      <c r="I834" s="96">
        <f t="shared" si="370"/>
        <v>3784</v>
      </c>
      <c r="J834" s="96">
        <f t="shared" si="370"/>
        <v>0</v>
      </c>
      <c r="K834" s="52">
        <f t="shared" ref="K834:K896" si="371">F834+G834+H834+I834+J834</f>
        <v>3784.2055500000001</v>
      </c>
      <c r="L834" s="81"/>
      <c r="M834" s="81"/>
      <c r="N834" s="82"/>
      <c r="O834" s="494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  <c r="BC834" s="65"/>
      <c r="BD834" s="65"/>
      <c r="BE834" s="225"/>
    </row>
    <row r="835" spans="1:57" s="226" customFormat="1" x14ac:dyDescent="0.2">
      <c r="A835" s="715"/>
      <c r="B835" s="701"/>
      <c r="C835" s="701"/>
      <c r="D835" s="59">
        <v>2024</v>
      </c>
      <c r="E835" s="96">
        <f t="shared" si="370"/>
        <v>0.21138999999999999</v>
      </c>
      <c r="F835" s="96">
        <f t="shared" si="370"/>
        <v>0.21138999999999999</v>
      </c>
      <c r="G835" s="96">
        <f t="shared" si="370"/>
        <v>0</v>
      </c>
      <c r="H835" s="96">
        <f t="shared" si="370"/>
        <v>0</v>
      </c>
      <c r="I835" s="96">
        <f t="shared" si="370"/>
        <v>0</v>
      </c>
      <c r="J835" s="96">
        <f t="shared" si="370"/>
        <v>0</v>
      </c>
      <c r="K835" s="52">
        <f t="shared" si="371"/>
        <v>0.21138999999999999</v>
      </c>
      <c r="L835" s="81"/>
      <c r="M835" s="81"/>
      <c r="N835" s="82"/>
      <c r="O835" s="494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  <c r="BC835" s="65"/>
      <c r="BD835" s="65"/>
      <c r="BE835" s="225"/>
    </row>
    <row r="836" spans="1:57" s="226" customFormat="1" x14ac:dyDescent="0.2">
      <c r="A836" s="715"/>
      <c r="B836" s="701"/>
      <c r="C836" s="701"/>
      <c r="D836" s="59">
        <v>2025</v>
      </c>
      <c r="E836" s="96">
        <f t="shared" si="370"/>
        <v>0.21740000000000001</v>
      </c>
      <c r="F836" s="96">
        <f t="shared" si="370"/>
        <v>0.21740000000000001</v>
      </c>
      <c r="G836" s="96">
        <f t="shared" si="370"/>
        <v>0</v>
      </c>
      <c r="H836" s="96">
        <f t="shared" si="370"/>
        <v>0</v>
      </c>
      <c r="I836" s="96">
        <f t="shared" si="370"/>
        <v>0</v>
      </c>
      <c r="J836" s="96">
        <f t="shared" si="370"/>
        <v>0</v>
      </c>
      <c r="K836" s="52">
        <f t="shared" si="371"/>
        <v>0.21740000000000001</v>
      </c>
      <c r="L836" s="81"/>
      <c r="M836" s="81"/>
      <c r="N836" s="82"/>
      <c r="O836" s="494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  <c r="BC836" s="65"/>
      <c r="BD836" s="65"/>
      <c r="BE836" s="225"/>
    </row>
    <row r="837" spans="1:57" s="226" customFormat="1" x14ac:dyDescent="0.2">
      <c r="A837" s="715"/>
      <c r="B837" s="701"/>
      <c r="C837" s="701"/>
      <c r="D837" s="59">
        <v>2026</v>
      </c>
      <c r="E837" s="96">
        <f t="shared" si="370"/>
        <v>0.22608800000000001</v>
      </c>
      <c r="F837" s="96">
        <f t="shared" si="370"/>
        <v>0.22608800000000001</v>
      </c>
      <c r="G837" s="96">
        <f t="shared" si="370"/>
        <v>0</v>
      </c>
      <c r="H837" s="96">
        <f t="shared" si="370"/>
        <v>0</v>
      </c>
      <c r="I837" s="96">
        <f t="shared" si="370"/>
        <v>0</v>
      </c>
      <c r="J837" s="96">
        <f t="shared" si="370"/>
        <v>0</v>
      </c>
      <c r="K837" s="52">
        <f t="shared" si="371"/>
        <v>0.22608800000000001</v>
      </c>
      <c r="L837" s="81"/>
      <c r="M837" s="81"/>
      <c r="N837" s="82"/>
      <c r="O837" s="494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  <c r="BC837" s="65"/>
      <c r="BD837" s="65"/>
      <c r="BE837" s="225"/>
    </row>
    <row r="838" spans="1:57" s="226" customFormat="1" x14ac:dyDescent="0.2">
      <c r="A838" s="715"/>
      <c r="B838" s="701"/>
      <c r="C838" s="701"/>
      <c r="D838" s="59">
        <v>2027</v>
      </c>
      <c r="E838" s="96">
        <f t="shared" si="370"/>
        <v>0.23515552000000001</v>
      </c>
      <c r="F838" s="96">
        <f t="shared" si="370"/>
        <v>0.23515552000000001</v>
      </c>
      <c r="G838" s="96">
        <f t="shared" si="370"/>
        <v>0</v>
      </c>
      <c r="H838" s="96">
        <f t="shared" si="370"/>
        <v>0</v>
      </c>
      <c r="I838" s="96">
        <f t="shared" si="370"/>
        <v>0</v>
      </c>
      <c r="J838" s="96">
        <f t="shared" si="370"/>
        <v>0</v>
      </c>
      <c r="K838" s="52">
        <f t="shared" si="371"/>
        <v>0.23515552000000001</v>
      </c>
      <c r="L838" s="81"/>
      <c r="M838" s="81"/>
      <c r="N838" s="82"/>
      <c r="O838" s="494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225"/>
    </row>
    <row r="839" spans="1:57" s="226" customFormat="1" x14ac:dyDescent="0.2">
      <c r="A839" s="715"/>
      <c r="B839" s="701"/>
      <c r="C839" s="701"/>
      <c r="D839" s="59">
        <v>2028</v>
      </c>
      <c r="E839" s="96">
        <f t="shared" si="370"/>
        <v>0.24460574080000003</v>
      </c>
      <c r="F839" s="96">
        <f t="shared" si="370"/>
        <v>0.24460574080000003</v>
      </c>
      <c r="G839" s="96">
        <f t="shared" si="370"/>
        <v>0</v>
      </c>
      <c r="H839" s="96">
        <f t="shared" si="370"/>
        <v>0</v>
      </c>
      <c r="I839" s="96">
        <f t="shared" si="370"/>
        <v>0</v>
      </c>
      <c r="J839" s="96">
        <f t="shared" si="370"/>
        <v>0</v>
      </c>
      <c r="K839" s="52">
        <f t="shared" si="371"/>
        <v>0.24460574080000003</v>
      </c>
      <c r="L839" s="81"/>
      <c r="M839" s="81"/>
      <c r="N839" s="82"/>
      <c r="O839" s="494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225"/>
    </row>
    <row r="840" spans="1:57" s="226" customFormat="1" x14ac:dyDescent="0.2">
      <c r="A840" s="715"/>
      <c r="B840" s="701"/>
      <c r="C840" s="701"/>
      <c r="D840" s="59">
        <v>2029</v>
      </c>
      <c r="E840" s="96">
        <f t="shared" si="370"/>
        <v>0.25444197043200001</v>
      </c>
      <c r="F840" s="96">
        <f t="shared" si="370"/>
        <v>0.25444197043200001</v>
      </c>
      <c r="G840" s="96">
        <f t="shared" si="370"/>
        <v>0</v>
      </c>
      <c r="H840" s="96">
        <f t="shared" si="370"/>
        <v>0</v>
      </c>
      <c r="I840" s="96">
        <f t="shared" si="370"/>
        <v>0</v>
      </c>
      <c r="J840" s="96">
        <f t="shared" si="370"/>
        <v>0</v>
      </c>
      <c r="K840" s="52">
        <f t="shared" si="371"/>
        <v>0.25444197043200001</v>
      </c>
      <c r="L840" s="81"/>
      <c r="M840" s="81"/>
      <c r="N840" s="82"/>
      <c r="O840" s="494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225"/>
    </row>
    <row r="841" spans="1:57" s="226" customFormat="1" x14ac:dyDescent="0.2">
      <c r="A841" s="771"/>
      <c r="B841" s="702"/>
      <c r="C841" s="702"/>
      <c r="D841" s="59">
        <v>2030</v>
      </c>
      <c r="E841" s="96">
        <f t="shared" si="370"/>
        <v>0.26456764924928</v>
      </c>
      <c r="F841" s="96">
        <f t="shared" si="370"/>
        <v>0.26456764924928</v>
      </c>
      <c r="G841" s="96">
        <f t="shared" si="370"/>
        <v>0</v>
      </c>
      <c r="H841" s="96">
        <f t="shared" si="370"/>
        <v>0</v>
      </c>
      <c r="I841" s="96">
        <f t="shared" si="370"/>
        <v>0</v>
      </c>
      <c r="J841" s="96">
        <f t="shared" si="370"/>
        <v>0</v>
      </c>
      <c r="K841" s="52">
        <f t="shared" si="371"/>
        <v>0.26456764924928</v>
      </c>
      <c r="L841" s="81"/>
      <c r="M841" s="81"/>
      <c r="N841" s="82"/>
      <c r="O841" s="494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225"/>
    </row>
    <row r="842" spans="1:57" s="226" customFormat="1" ht="15.75" customHeight="1" x14ac:dyDescent="0.2">
      <c r="A842" s="772" t="s">
        <v>696</v>
      </c>
      <c r="B842" s="774" t="s">
        <v>611</v>
      </c>
      <c r="C842" s="775"/>
      <c r="D842" s="487" t="s">
        <v>198</v>
      </c>
      <c r="E842" s="494">
        <f>SUM(E843:E854)</f>
        <v>118708.27780888048</v>
      </c>
      <c r="F842" s="494">
        <f>SUM(F843:F854)</f>
        <v>0.56780888048128009</v>
      </c>
      <c r="G842" s="494">
        <f t="shared" ref="G842:J842" si="372">SUM(G843:G854)</f>
        <v>0</v>
      </c>
      <c r="H842" s="494">
        <f t="shared" si="372"/>
        <v>0</v>
      </c>
      <c r="I842" s="494">
        <f>SUM(I843:I854)</f>
        <v>118707.70999999999</v>
      </c>
      <c r="J842" s="494">
        <f t="shared" si="372"/>
        <v>0</v>
      </c>
      <c r="K842" s="52">
        <f t="shared" si="371"/>
        <v>118708.27780888048</v>
      </c>
      <c r="L842" s="55"/>
      <c r="M842" s="198"/>
      <c r="N842" s="199"/>
      <c r="O842" s="49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225"/>
    </row>
    <row r="843" spans="1:57" s="48" customFormat="1" x14ac:dyDescent="0.2">
      <c r="A843" s="773"/>
      <c r="B843" s="735"/>
      <c r="C843" s="711"/>
      <c r="D843" s="470">
        <v>2019</v>
      </c>
      <c r="E843" s="567">
        <f>E856+E862+E866</f>
        <v>28255.192200000001</v>
      </c>
      <c r="F843" s="567">
        <f>F856+F862+F866</f>
        <v>1.2200000000000001E-2</v>
      </c>
      <c r="G843" s="567">
        <f t="shared" ref="G843:J843" si="373">G856+G862+G866</f>
        <v>0</v>
      </c>
      <c r="H843" s="567">
        <f t="shared" si="373"/>
        <v>0</v>
      </c>
      <c r="I843" s="567">
        <f>I856+I862+I866</f>
        <v>28255.18</v>
      </c>
      <c r="J843" s="567">
        <f t="shared" si="373"/>
        <v>0</v>
      </c>
      <c r="K843" s="52">
        <f t="shared" si="371"/>
        <v>28255.192200000001</v>
      </c>
      <c r="L843" s="52"/>
      <c r="M843" s="50"/>
      <c r="N843" s="51"/>
      <c r="O843" s="49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/>
      <c r="BE843" s="66"/>
    </row>
    <row r="844" spans="1:57" s="48" customFormat="1" x14ac:dyDescent="0.2">
      <c r="A844" s="773"/>
      <c r="B844" s="735"/>
      <c r="C844" s="711"/>
      <c r="D844" s="470">
        <v>2020</v>
      </c>
      <c r="E844" s="567">
        <f>E857+E867+E863</f>
        <v>40983.692360000001</v>
      </c>
      <c r="F844" s="567">
        <f t="shared" ref="F844:J845" si="374">F857+F867+F863</f>
        <v>4.2360000000000002E-2</v>
      </c>
      <c r="G844" s="567">
        <f t="shared" si="374"/>
        <v>0</v>
      </c>
      <c r="H844" s="567">
        <f t="shared" si="374"/>
        <v>0</v>
      </c>
      <c r="I844" s="567">
        <f t="shared" si="374"/>
        <v>40983.65</v>
      </c>
      <c r="J844" s="567">
        <f t="shared" si="374"/>
        <v>0</v>
      </c>
      <c r="K844" s="52">
        <f t="shared" si="371"/>
        <v>40983.692360000001</v>
      </c>
      <c r="L844" s="52"/>
      <c r="M844" s="50"/>
      <c r="N844" s="51"/>
      <c r="O844" s="49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/>
      <c r="BB844" s="65"/>
      <c r="BC844" s="65"/>
      <c r="BD844" s="65"/>
      <c r="BE844" s="66"/>
    </row>
    <row r="845" spans="1:57" s="48" customFormat="1" x14ac:dyDescent="0.2">
      <c r="A845" s="773"/>
      <c r="B845" s="735"/>
      <c r="C845" s="711"/>
      <c r="D845" s="470">
        <v>2021</v>
      </c>
      <c r="E845" s="567">
        <f>E858+E868+E864</f>
        <v>29515.924059999998</v>
      </c>
      <c r="F845" s="567">
        <f t="shared" si="374"/>
        <v>4.4060000000000002E-2</v>
      </c>
      <c r="G845" s="567">
        <f t="shared" si="374"/>
        <v>0</v>
      </c>
      <c r="H845" s="567">
        <f t="shared" si="374"/>
        <v>0</v>
      </c>
      <c r="I845" s="567">
        <f t="shared" si="374"/>
        <v>29515.879999999997</v>
      </c>
      <c r="J845" s="567">
        <f t="shared" ref="F845:J846" si="375">J858+J868</f>
        <v>0</v>
      </c>
      <c r="K845" s="52">
        <f t="shared" si="371"/>
        <v>29515.924059999998</v>
      </c>
      <c r="L845" s="52"/>
      <c r="M845" s="50"/>
      <c r="N845" s="51"/>
      <c r="O845" s="49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/>
      <c r="BB845" s="65"/>
      <c r="BC845" s="65"/>
      <c r="BD845" s="65"/>
      <c r="BE845" s="66"/>
    </row>
    <row r="846" spans="1:57" s="48" customFormat="1" x14ac:dyDescent="0.2">
      <c r="A846" s="773"/>
      <c r="B846" s="735"/>
      <c r="C846" s="711"/>
      <c r="D846" s="470">
        <v>2022</v>
      </c>
      <c r="E846" s="567">
        <f>E859+E869</f>
        <v>16169.04579</v>
      </c>
      <c r="F846" s="567">
        <f t="shared" si="375"/>
        <v>4.5789999999999997E-2</v>
      </c>
      <c r="G846" s="567">
        <f t="shared" si="375"/>
        <v>0</v>
      </c>
      <c r="H846" s="567">
        <f t="shared" si="375"/>
        <v>0</v>
      </c>
      <c r="I846" s="567">
        <f>I859+I869</f>
        <v>16169</v>
      </c>
      <c r="J846" s="567">
        <f t="shared" si="375"/>
        <v>0</v>
      </c>
      <c r="K846" s="52">
        <f t="shared" si="371"/>
        <v>16169.04579</v>
      </c>
      <c r="L846" s="52"/>
      <c r="M846" s="50"/>
      <c r="N846" s="51"/>
      <c r="O846" s="49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/>
      <c r="BB846" s="65"/>
      <c r="BC846" s="65"/>
      <c r="BD846" s="65"/>
      <c r="BE846" s="66"/>
    </row>
    <row r="847" spans="1:57" s="48" customFormat="1" x14ac:dyDescent="0.2">
      <c r="A847" s="773"/>
      <c r="B847" s="735"/>
      <c r="C847" s="711"/>
      <c r="D847" s="470">
        <v>2023</v>
      </c>
      <c r="E847" s="567">
        <f>E870+E860</f>
        <v>3784.0459500000002</v>
      </c>
      <c r="F847" s="567">
        <f t="shared" ref="F847:J847" si="376">F870+F860</f>
        <v>4.5949999999999998E-2</v>
      </c>
      <c r="G847" s="567">
        <f t="shared" si="376"/>
        <v>0</v>
      </c>
      <c r="H847" s="567">
        <f t="shared" si="376"/>
        <v>0</v>
      </c>
      <c r="I847" s="567">
        <f t="shared" si="376"/>
        <v>3784</v>
      </c>
      <c r="J847" s="567">
        <f t="shared" si="376"/>
        <v>0</v>
      </c>
      <c r="K847" s="52">
        <f t="shared" si="371"/>
        <v>3784.0459500000002</v>
      </c>
      <c r="L847" s="52"/>
      <c r="M847" s="50"/>
      <c r="N847" s="51"/>
      <c r="O847" s="49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/>
      <c r="BB847" s="65"/>
      <c r="BC847" s="65"/>
      <c r="BD847" s="65"/>
      <c r="BE847" s="66"/>
    </row>
    <row r="848" spans="1:57" s="48" customFormat="1" x14ac:dyDescent="0.2">
      <c r="A848" s="773"/>
      <c r="B848" s="735"/>
      <c r="C848" s="711"/>
      <c r="D848" s="470">
        <v>2024</v>
      </c>
      <c r="E848" s="567">
        <f>E871</f>
        <v>4.7789999999999999E-2</v>
      </c>
      <c r="F848" s="567">
        <f t="shared" ref="E848:J854" si="377">F871</f>
        <v>4.7789999999999999E-2</v>
      </c>
      <c r="G848" s="567">
        <f t="shared" si="377"/>
        <v>0</v>
      </c>
      <c r="H848" s="567">
        <f t="shared" si="377"/>
        <v>0</v>
      </c>
      <c r="I848" s="567">
        <f t="shared" si="377"/>
        <v>0</v>
      </c>
      <c r="J848" s="567">
        <f t="shared" si="377"/>
        <v>0</v>
      </c>
      <c r="K848" s="52">
        <f t="shared" si="371"/>
        <v>4.7789999999999999E-2</v>
      </c>
      <c r="L848" s="52"/>
      <c r="M848" s="50"/>
      <c r="N848" s="51"/>
      <c r="O848" s="49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65"/>
      <c r="BD848" s="65"/>
      <c r="BE848" s="66"/>
    </row>
    <row r="849" spans="1:57" s="48" customFormat="1" x14ac:dyDescent="0.2">
      <c r="A849" s="773"/>
      <c r="B849" s="735"/>
      <c r="C849" s="711"/>
      <c r="D849" s="470">
        <v>2025</v>
      </c>
      <c r="E849" s="567">
        <f>E872</f>
        <v>4.9700000000000001E-2</v>
      </c>
      <c r="F849" s="567">
        <f t="shared" si="377"/>
        <v>4.9700000000000001E-2</v>
      </c>
      <c r="G849" s="567">
        <f t="shared" si="377"/>
        <v>0</v>
      </c>
      <c r="H849" s="567">
        <f t="shared" si="377"/>
        <v>0</v>
      </c>
      <c r="I849" s="567">
        <f t="shared" si="377"/>
        <v>0</v>
      </c>
      <c r="J849" s="567">
        <f t="shared" si="377"/>
        <v>0</v>
      </c>
      <c r="K849" s="52">
        <f t="shared" si="371"/>
        <v>4.9700000000000001E-2</v>
      </c>
      <c r="L849" s="52"/>
      <c r="M849" s="50"/>
      <c r="N849" s="51"/>
      <c r="O849" s="49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  <c r="BC849" s="65"/>
      <c r="BD849" s="65"/>
      <c r="BE849" s="66"/>
    </row>
    <row r="850" spans="1:57" s="48" customFormat="1" x14ac:dyDescent="0.2">
      <c r="A850" s="773"/>
      <c r="B850" s="735"/>
      <c r="C850" s="711"/>
      <c r="D850" s="470">
        <v>2026</v>
      </c>
      <c r="E850" s="567">
        <f t="shared" si="377"/>
        <v>5.1688000000000005E-2</v>
      </c>
      <c r="F850" s="567">
        <f t="shared" si="377"/>
        <v>5.1688000000000005E-2</v>
      </c>
      <c r="G850" s="567">
        <f t="shared" si="377"/>
        <v>0</v>
      </c>
      <c r="H850" s="567">
        <f t="shared" si="377"/>
        <v>0</v>
      </c>
      <c r="I850" s="567">
        <f t="shared" si="377"/>
        <v>0</v>
      </c>
      <c r="J850" s="567">
        <f t="shared" si="377"/>
        <v>0</v>
      </c>
      <c r="K850" s="52">
        <f t="shared" si="371"/>
        <v>5.1688000000000005E-2</v>
      </c>
      <c r="L850" s="52"/>
      <c r="M850" s="50"/>
      <c r="N850" s="51"/>
      <c r="O850" s="49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65"/>
      <c r="BD850" s="65"/>
      <c r="BE850" s="66"/>
    </row>
    <row r="851" spans="1:57" s="48" customFormat="1" x14ac:dyDescent="0.2">
      <c r="A851" s="773"/>
      <c r="B851" s="735"/>
      <c r="C851" s="711"/>
      <c r="D851" s="470">
        <v>2027</v>
      </c>
      <c r="E851" s="567">
        <f>E874</f>
        <v>5.3755520000000008E-2</v>
      </c>
      <c r="F851" s="567">
        <f t="shared" si="377"/>
        <v>5.3755520000000008E-2</v>
      </c>
      <c r="G851" s="567">
        <f t="shared" si="377"/>
        <v>0</v>
      </c>
      <c r="H851" s="567">
        <f t="shared" si="377"/>
        <v>0</v>
      </c>
      <c r="I851" s="567">
        <f t="shared" si="377"/>
        <v>0</v>
      </c>
      <c r="J851" s="567">
        <f t="shared" si="377"/>
        <v>0</v>
      </c>
      <c r="K851" s="52">
        <f t="shared" si="371"/>
        <v>5.3755520000000008E-2</v>
      </c>
      <c r="L851" s="52"/>
      <c r="M851" s="50"/>
      <c r="N851" s="51"/>
      <c r="O851" s="49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/>
      <c r="BB851" s="65"/>
      <c r="BC851" s="65"/>
      <c r="BD851" s="65"/>
      <c r="BE851" s="66"/>
    </row>
    <row r="852" spans="1:57" s="48" customFormat="1" x14ac:dyDescent="0.2">
      <c r="A852" s="773"/>
      <c r="B852" s="735"/>
      <c r="C852" s="711"/>
      <c r="D852" s="470">
        <v>2028</v>
      </c>
      <c r="E852" s="567">
        <f t="shared" si="377"/>
        <v>5.5905740800000013E-2</v>
      </c>
      <c r="F852" s="567">
        <f t="shared" si="377"/>
        <v>5.5905740800000013E-2</v>
      </c>
      <c r="G852" s="567">
        <f t="shared" si="377"/>
        <v>0</v>
      </c>
      <c r="H852" s="567">
        <f t="shared" si="377"/>
        <v>0</v>
      </c>
      <c r="I852" s="567">
        <f t="shared" si="377"/>
        <v>0</v>
      </c>
      <c r="J852" s="567">
        <f t="shared" si="377"/>
        <v>0</v>
      </c>
      <c r="K852" s="52">
        <f t="shared" si="371"/>
        <v>5.5905740800000013E-2</v>
      </c>
      <c r="L852" s="52"/>
      <c r="M852" s="50"/>
      <c r="N852" s="51"/>
      <c r="O852" s="49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/>
      <c r="BB852" s="65"/>
      <c r="BC852" s="65"/>
      <c r="BD852" s="65"/>
      <c r="BE852" s="66"/>
    </row>
    <row r="853" spans="1:57" s="48" customFormat="1" x14ac:dyDescent="0.2">
      <c r="A853" s="773"/>
      <c r="B853" s="735"/>
      <c r="C853" s="711"/>
      <c r="D853" s="470">
        <v>2029</v>
      </c>
      <c r="E853" s="567">
        <f t="shared" si="377"/>
        <v>5.8141970432000013E-2</v>
      </c>
      <c r="F853" s="567">
        <f t="shared" si="377"/>
        <v>5.8141970432000013E-2</v>
      </c>
      <c r="G853" s="567">
        <f t="shared" si="377"/>
        <v>0</v>
      </c>
      <c r="H853" s="567">
        <f t="shared" si="377"/>
        <v>0</v>
      </c>
      <c r="I853" s="567">
        <f t="shared" si="377"/>
        <v>0</v>
      </c>
      <c r="J853" s="567">
        <f t="shared" si="377"/>
        <v>0</v>
      </c>
      <c r="K853" s="52">
        <f t="shared" si="371"/>
        <v>5.8141970432000013E-2</v>
      </c>
      <c r="L853" s="52"/>
      <c r="M853" s="50"/>
      <c r="N853" s="51"/>
      <c r="O853" s="49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  <c r="BC853" s="65"/>
      <c r="BD853" s="65"/>
      <c r="BE853" s="66"/>
    </row>
    <row r="854" spans="1:57" s="48" customFormat="1" ht="17.25" customHeight="1" x14ac:dyDescent="0.2">
      <c r="A854" s="770"/>
      <c r="B854" s="770"/>
      <c r="C854" s="712"/>
      <c r="D854" s="470">
        <v>2030</v>
      </c>
      <c r="E854" s="567">
        <f>E877</f>
        <v>6.0467649249280019E-2</v>
      </c>
      <c r="F854" s="567">
        <f t="shared" si="377"/>
        <v>6.0467649249280019E-2</v>
      </c>
      <c r="G854" s="567">
        <f t="shared" si="377"/>
        <v>0</v>
      </c>
      <c r="H854" s="567">
        <f t="shared" si="377"/>
        <v>0</v>
      </c>
      <c r="I854" s="567">
        <f t="shared" si="377"/>
        <v>0</v>
      </c>
      <c r="J854" s="567">
        <f t="shared" si="377"/>
        <v>0</v>
      </c>
      <c r="K854" s="52">
        <f t="shared" si="371"/>
        <v>6.0467649249280019E-2</v>
      </c>
      <c r="L854" s="52"/>
      <c r="M854" s="50"/>
      <c r="N854" s="51"/>
      <c r="O854" s="49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  <c r="BC854" s="65"/>
      <c r="BD854" s="65"/>
      <c r="BE854" s="66"/>
    </row>
    <row r="855" spans="1:57" s="48" customFormat="1" ht="12.75" customHeight="1" x14ac:dyDescent="0.2">
      <c r="A855" s="697" t="s">
        <v>697</v>
      </c>
      <c r="B855" s="739" t="s">
        <v>264</v>
      </c>
      <c r="C855" s="739" t="s">
        <v>386</v>
      </c>
      <c r="D855" s="46" t="s">
        <v>198</v>
      </c>
      <c r="E855" s="47">
        <f>E856+E857+E858+E859+E860</f>
        <v>53342</v>
      </c>
      <c r="F855" s="47">
        <f t="shared" ref="F855:J855" si="378">F856+F857+F858+F859+F860</f>
        <v>0</v>
      </c>
      <c r="G855" s="47">
        <f t="shared" si="378"/>
        <v>0</v>
      </c>
      <c r="H855" s="47">
        <f t="shared" si="378"/>
        <v>0</v>
      </c>
      <c r="I855" s="47">
        <f>I856+I857+I858+I859+I860</f>
        <v>53342</v>
      </c>
      <c r="J855" s="47">
        <f t="shared" si="378"/>
        <v>0</v>
      </c>
      <c r="K855" s="52">
        <f t="shared" si="371"/>
        <v>53342</v>
      </c>
      <c r="L855" s="767" t="s">
        <v>895</v>
      </c>
      <c r="M855" s="50"/>
      <c r="N855" s="762">
        <v>886</v>
      </c>
      <c r="O855" s="746" t="s">
        <v>896</v>
      </c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/>
      <c r="BB855" s="65"/>
      <c r="BC855" s="65"/>
      <c r="BD855" s="65"/>
      <c r="BE855" s="66"/>
    </row>
    <row r="856" spans="1:57" s="48" customFormat="1" x14ac:dyDescent="0.2">
      <c r="A856" s="698"/>
      <c r="B856" s="740"/>
      <c r="C856" s="740"/>
      <c r="D856" s="470">
        <v>2019</v>
      </c>
      <c r="E856" s="567">
        <f>F856+G856+H856+I856+J856</f>
        <v>9396</v>
      </c>
      <c r="F856" s="567">
        <v>0</v>
      </c>
      <c r="G856" s="567">
        <v>0</v>
      </c>
      <c r="H856" s="567">
        <v>0</v>
      </c>
      <c r="I856" s="567">
        <v>9396</v>
      </c>
      <c r="J856" s="567">
        <v>0</v>
      </c>
      <c r="K856" s="52">
        <f t="shared" si="371"/>
        <v>9396</v>
      </c>
      <c r="L856" s="768"/>
      <c r="M856" s="50"/>
      <c r="N856" s="763"/>
      <c r="O856" s="747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/>
      <c r="BB856" s="65"/>
      <c r="BC856" s="65"/>
      <c r="BD856" s="65"/>
      <c r="BE856" s="66"/>
    </row>
    <row r="857" spans="1:57" s="48" customFormat="1" x14ac:dyDescent="0.2">
      <c r="A857" s="698"/>
      <c r="B857" s="740"/>
      <c r="C857" s="740"/>
      <c r="D857" s="470">
        <v>2020</v>
      </c>
      <c r="E857" s="567">
        <f>F857+G857+H857+I857+J857</f>
        <v>6781</v>
      </c>
      <c r="F857" s="567">
        <v>0</v>
      </c>
      <c r="G857" s="567">
        <v>0</v>
      </c>
      <c r="H857" s="567">
        <v>0</v>
      </c>
      <c r="I857" s="567">
        <v>6781</v>
      </c>
      <c r="J857" s="567">
        <v>0</v>
      </c>
      <c r="K857" s="52">
        <f t="shared" si="371"/>
        <v>6781</v>
      </c>
      <c r="L857" s="768"/>
      <c r="M857" s="50"/>
      <c r="N857" s="763"/>
      <c r="O857" s="747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  <c r="BC857" s="65"/>
      <c r="BD857" s="65"/>
      <c r="BE857" s="66"/>
    </row>
    <row r="858" spans="1:57" s="48" customFormat="1" x14ac:dyDescent="0.2">
      <c r="A858" s="698"/>
      <c r="B858" s="740"/>
      <c r="C858" s="740"/>
      <c r="D858" s="470">
        <v>2021</v>
      </c>
      <c r="E858" s="567">
        <f t="shared" ref="E858:E860" si="379">F858+G858+H858+I858+J858</f>
        <v>17212</v>
      </c>
      <c r="F858" s="567">
        <v>0</v>
      </c>
      <c r="G858" s="567">
        <v>0</v>
      </c>
      <c r="H858" s="567">
        <v>0</v>
      </c>
      <c r="I858" s="567">
        <v>17212</v>
      </c>
      <c r="J858" s="567">
        <v>0</v>
      </c>
      <c r="K858" s="52">
        <f t="shared" si="371"/>
        <v>17212</v>
      </c>
      <c r="L858" s="768"/>
      <c r="M858" s="50"/>
      <c r="N858" s="763"/>
      <c r="O858" s="747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/>
      <c r="BB858" s="65"/>
      <c r="BC858" s="65"/>
      <c r="BD858" s="65"/>
      <c r="BE858" s="66"/>
    </row>
    <row r="859" spans="1:57" s="48" customFormat="1" ht="14.25" customHeight="1" x14ac:dyDescent="0.2">
      <c r="A859" s="698"/>
      <c r="B859" s="740"/>
      <c r="C859" s="740"/>
      <c r="D859" s="470">
        <v>2022</v>
      </c>
      <c r="E859" s="567">
        <f t="shared" si="379"/>
        <v>16169</v>
      </c>
      <c r="F859" s="567">
        <v>0</v>
      </c>
      <c r="G859" s="567">
        <v>0</v>
      </c>
      <c r="H859" s="567">
        <v>0</v>
      </c>
      <c r="I859" s="567">
        <v>16169</v>
      </c>
      <c r="J859" s="567">
        <v>0</v>
      </c>
      <c r="K859" s="52">
        <f t="shared" si="371"/>
        <v>16169</v>
      </c>
      <c r="L859" s="768"/>
      <c r="M859" s="50"/>
      <c r="N859" s="763"/>
      <c r="O859" s="747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  <c r="BC859" s="65"/>
      <c r="BD859" s="65"/>
      <c r="BE859" s="66"/>
    </row>
    <row r="860" spans="1:57" s="48" customFormat="1" ht="14.25" customHeight="1" x14ac:dyDescent="0.2">
      <c r="A860" s="698"/>
      <c r="B860" s="741"/>
      <c r="C860" s="740"/>
      <c r="D860" s="470">
        <v>2023</v>
      </c>
      <c r="E860" s="567">
        <f t="shared" si="379"/>
        <v>3784</v>
      </c>
      <c r="F860" s="567">
        <v>0</v>
      </c>
      <c r="G860" s="567">
        <v>0</v>
      </c>
      <c r="H860" s="567">
        <v>0</v>
      </c>
      <c r="I860" s="567">
        <v>3784</v>
      </c>
      <c r="J860" s="567">
        <v>0</v>
      </c>
      <c r="K860" s="52">
        <f t="shared" si="371"/>
        <v>3784</v>
      </c>
      <c r="L860" s="529"/>
      <c r="M860" s="50"/>
      <c r="N860" s="526"/>
      <c r="O860" s="520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/>
      <c r="BB860" s="65"/>
      <c r="BC860" s="65"/>
      <c r="BD860" s="65"/>
      <c r="BE860" s="66"/>
    </row>
    <row r="861" spans="1:57" s="48" customFormat="1" x14ac:dyDescent="0.2">
      <c r="A861" s="697" t="s">
        <v>699</v>
      </c>
      <c r="B861" s="739" t="s">
        <v>266</v>
      </c>
      <c r="C861" s="739" t="s">
        <v>386</v>
      </c>
      <c r="D861" s="46" t="s">
        <v>198</v>
      </c>
      <c r="E861" s="47">
        <f>E862+E863+E864</f>
        <v>65365.71</v>
      </c>
      <c r="F861" s="47">
        <f t="shared" ref="F861:I861" si="380">F862+F863+F864</f>
        <v>0</v>
      </c>
      <c r="G861" s="47">
        <f t="shared" si="380"/>
        <v>0</v>
      </c>
      <c r="H861" s="47">
        <f t="shared" si="380"/>
        <v>0</v>
      </c>
      <c r="I861" s="47">
        <f t="shared" si="380"/>
        <v>65365.71</v>
      </c>
      <c r="J861" s="47">
        <f t="shared" ref="J861" si="381">J862</f>
        <v>0</v>
      </c>
      <c r="K861" s="52">
        <f t="shared" si="371"/>
        <v>65365.71</v>
      </c>
      <c r="L861" s="760" t="s">
        <v>177</v>
      </c>
      <c r="M861" s="50"/>
      <c r="N861" s="762">
        <v>851</v>
      </c>
      <c r="O861" s="765" t="s">
        <v>897</v>
      </c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/>
      <c r="BB861" s="65"/>
      <c r="BC861" s="65"/>
      <c r="BD861" s="65"/>
      <c r="BE861" s="66"/>
    </row>
    <row r="862" spans="1:57" s="48" customFormat="1" x14ac:dyDescent="0.2">
      <c r="A862" s="759"/>
      <c r="B862" s="701"/>
      <c r="C862" s="740"/>
      <c r="D862" s="470">
        <v>2019</v>
      </c>
      <c r="E862" s="567">
        <f>F862+G862+H862+I862+J862</f>
        <v>18859.18</v>
      </c>
      <c r="F862" s="567">
        <v>0</v>
      </c>
      <c r="G862" s="567">
        <v>0</v>
      </c>
      <c r="H862" s="567">
        <v>0</v>
      </c>
      <c r="I862" s="567">
        <v>18859.18</v>
      </c>
      <c r="J862" s="567">
        <v>0</v>
      </c>
      <c r="K862" s="52">
        <f t="shared" si="371"/>
        <v>18859.18</v>
      </c>
      <c r="L862" s="761"/>
      <c r="M862" s="50"/>
      <c r="N862" s="763"/>
      <c r="O862" s="766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  <c r="BC862" s="65"/>
      <c r="BD862" s="65"/>
      <c r="BE862" s="66"/>
    </row>
    <row r="863" spans="1:57" s="48" customFormat="1" ht="14.25" customHeight="1" x14ac:dyDescent="0.2">
      <c r="A863" s="525"/>
      <c r="B863" s="499"/>
      <c r="C863" s="517"/>
      <c r="D863" s="470">
        <v>2020</v>
      </c>
      <c r="E863" s="567">
        <f>F863+G863+H863+I863+J863</f>
        <v>34202.65</v>
      </c>
      <c r="F863" s="567">
        <v>0</v>
      </c>
      <c r="G863" s="567">
        <v>0</v>
      </c>
      <c r="H863" s="567">
        <v>0</v>
      </c>
      <c r="I863" s="567">
        <v>34202.65</v>
      </c>
      <c r="J863" s="567">
        <v>0</v>
      </c>
      <c r="K863" s="52">
        <f t="shared" si="371"/>
        <v>34202.65</v>
      </c>
      <c r="L863" s="94"/>
      <c r="M863" s="50"/>
      <c r="N863" s="763"/>
      <c r="O863" s="528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6"/>
    </row>
    <row r="864" spans="1:57" s="48" customFormat="1" ht="14.25" customHeight="1" x14ac:dyDescent="0.2">
      <c r="A864" s="525"/>
      <c r="B864" s="499"/>
      <c r="C864" s="517"/>
      <c r="D864" s="470">
        <v>2021</v>
      </c>
      <c r="E864" s="567">
        <f>F864+G864+H864+I864+J864</f>
        <v>12303.88</v>
      </c>
      <c r="F864" s="567">
        <v>0</v>
      </c>
      <c r="G864" s="567">
        <v>0</v>
      </c>
      <c r="H864" s="567">
        <v>0</v>
      </c>
      <c r="I864" s="567">
        <v>12303.88</v>
      </c>
      <c r="J864" s="567">
        <v>0</v>
      </c>
      <c r="K864" s="52">
        <f t="shared" si="371"/>
        <v>12303.88</v>
      </c>
      <c r="L864" s="94"/>
      <c r="M864" s="50"/>
      <c r="N864" s="764"/>
      <c r="O864" s="528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/>
      <c r="BB864" s="65"/>
      <c r="BC864" s="65"/>
      <c r="BD864" s="65"/>
      <c r="BE864" s="66"/>
    </row>
    <row r="865" spans="1:57" s="48" customFormat="1" x14ac:dyDescent="0.2">
      <c r="A865" s="662" t="s">
        <v>736</v>
      </c>
      <c r="B865" s="631" t="s">
        <v>737</v>
      </c>
      <c r="C865" s="137"/>
      <c r="D865" s="46" t="s">
        <v>198</v>
      </c>
      <c r="E865" s="47">
        <f>E866+E867+E868+E869+E871+E872+E873+E874+E875+E876+E877+E870</f>
        <v>0.56780888048128009</v>
      </c>
      <c r="F865" s="47">
        <f t="shared" ref="F865:G865" si="382">F866+F867+F868+F869+F871+F872+F873+F874+F875+F876+F877+F870</f>
        <v>0.56780888048128009</v>
      </c>
      <c r="G865" s="47">
        <f t="shared" si="382"/>
        <v>0</v>
      </c>
      <c r="H865" s="47">
        <f t="shared" ref="H865:J865" si="383">H866+H867+H868+H869+H871+H872+H873+H874+H875+H876+H877+H870</f>
        <v>0</v>
      </c>
      <c r="I865" s="47">
        <f t="shared" si="383"/>
        <v>0</v>
      </c>
      <c r="J865" s="47">
        <f t="shared" si="383"/>
        <v>0</v>
      </c>
      <c r="K865" s="52">
        <f t="shared" si="371"/>
        <v>0.56780888048128009</v>
      </c>
      <c r="L865" s="94"/>
      <c r="M865" s="50"/>
      <c r="N865" s="95"/>
      <c r="O865" s="746" t="s">
        <v>739</v>
      </c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6"/>
    </row>
    <row r="866" spans="1:57" s="48" customFormat="1" ht="17.25" customHeight="1" x14ac:dyDescent="0.2">
      <c r="A866" s="717"/>
      <c r="B866" s="701"/>
      <c r="C866" s="523" t="s">
        <v>738</v>
      </c>
      <c r="D866" s="470">
        <v>2019</v>
      </c>
      <c r="E866" s="567">
        <f>F866+G866+H866+I866+J866</f>
        <v>1.2200000000000001E-2</v>
      </c>
      <c r="F866" s="567">
        <v>1.2200000000000001E-2</v>
      </c>
      <c r="G866" s="567">
        <v>0</v>
      </c>
      <c r="H866" s="567">
        <v>0</v>
      </c>
      <c r="I866" s="567">
        <v>0</v>
      </c>
      <c r="J866" s="567">
        <v>0</v>
      </c>
      <c r="K866" s="52">
        <f t="shared" si="371"/>
        <v>1.2200000000000001E-2</v>
      </c>
      <c r="L866" s="94"/>
      <c r="M866" s="50"/>
      <c r="N866" s="95"/>
      <c r="O866" s="701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6"/>
    </row>
    <row r="867" spans="1:57" s="48" customFormat="1" ht="14.25" customHeight="1" x14ac:dyDescent="0.2">
      <c r="A867" s="717"/>
      <c r="B867" s="701"/>
      <c r="C867" s="755" t="s">
        <v>885</v>
      </c>
      <c r="D867" s="470">
        <v>2020</v>
      </c>
      <c r="E867" s="567">
        <f t="shared" ref="E867:E877" si="384">F867+G867+H867+I867+J867</f>
        <v>4.2360000000000002E-2</v>
      </c>
      <c r="F867" s="567">
        <v>4.2360000000000002E-2</v>
      </c>
      <c r="G867" s="567">
        <v>0</v>
      </c>
      <c r="H867" s="567">
        <v>0</v>
      </c>
      <c r="I867" s="567">
        <v>0</v>
      </c>
      <c r="J867" s="567">
        <v>0</v>
      </c>
      <c r="K867" s="52">
        <f t="shared" si="371"/>
        <v>4.2360000000000002E-2</v>
      </c>
      <c r="L867" s="94"/>
      <c r="M867" s="50"/>
      <c r="N867" s="95"/>
      <c r="O867" s="701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6"/>
    </row>
    <row r="868" spans="1:57" s="48" customFormat="1" ht="14.25" customHeight="1" x14ac:dyDescent="0.2">
      <c r="A868" s="717"/>
      <c r="B868" s="701"/>
      <c r="C868" s="756"/>
      <c r="D868" s="470">
        <v>2021</v>
      </c>
      <c r="E868" s="567">
        <f t="shared" si="384"/>
        <v>4.4060000000000002E-2</v>
      </c>
      <c r="F868" s="567">
        <v>4.4060000000000002E-2</v>
      </c>
      <c r="G868" s="567">
        <v>0</v>
      </c>
      <c r="H868" s="567">
        <v>0</v>
      </c>
      <c r="I868" s="567">
        <v>0</v>
      </c>
      <c r="J868" s="567">
        <v>0</v>
      </c>
      <c r="K868" s="52">
        <f t="shared" si="371"/>
        <v>4.4060000000000002E-2</v>
      </c>
      <c r="L868" s="94"/>
      <c r="M868" s="50"/>
      <c r="N868" s="95"/>
      <c r="O868" s="701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/>
      <c r="BB868" s="65"/>
      <c r="BC868" s="65"/>
      <c r="BD868" s="65"/>
      <c r="BE868" s="66"/>
    </row>
    <row r="869" spans="1:57" s="48" customFormat="1" ht="14.25" customHeight="1" x14ac:dyDescent="0.2">
      <c r="A869" s="717"/>
      <c r="B869" s="701"/>
      <c r="C869" s="756"/>
      <c r="D869" s="470">
        <v>2022</v>
      </c>
      <c r="E869" s="567">
        <f t="shared" si="384"/>
        <v>4.5789999999999997E-2</v>
      </c>
      <c r="F869" s="567">
        <v>4.5789999999999997E-2</v>
      </c>
      <c r="G869" s="567">
        <v>0</v>
      </c>
      <c r="H869" s="567">
        <v>0</v>
      </c>
      <c r="I869" s="567">
        <v>0</v>
      </c>
      <c r="J869" s="567">
        <v>0</v>
      </c>
      <c r="K869" s="52">
        <f t="shared" si="371"/>
        <v>4.5789999999999997E-2</v>
      </c>
      <c r="L869" s="94"/>
      <c r="M869" s="50"/>
      <c r="N869" s="95"/>
      <c r="O869" s="701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6"/>
    </row>
    <row r="870" spans="1:57" s="48" customFormat="1" ht="14.25" customHeight="1" x14ac:dyDescent="0.2">
      <c r="A870" s="717"/>
      <c r="B870" s="701"/>
      <c r="C870" s="756"/>
      <c r="D870" s="470">
        <v>2023</v>
      </c>
      <c r="E870" s="567">
        <f t="shared" si="384"/>
        <v>4.5949999999999998E-2</v>
      </c>
      <c r="F870" s="567">
        <v>4.5949999999999998E-2</v>
      </c>
      <c r="G870" s="567">
        <v>0</v>
      </c>
      <c r="H870" s="567">
        <v>0</v>
      </c>
      <c r="I870" s="567">
        <v>0</v>
      </c>
      <c r="J870" s="567">
        <v>0</v>
      </c>
      <c r="K870" s="52">
        <f t="shared" si="371"/>
        <v>4.5949999999999998E-2</v>
      </c>
      <c r="L870" s="94"/>
      <c r="M870" s="50"/>
      <c r="N870" s="95"/>
      <c r="O870" s="701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/>
      <c r="BB870" s="65"/>
      <c r="BC870" s="65"/>
      <c r="BD870" s="65"/>
      <c r="BE870" s="66"/>
    </row>
    <row r="871" spans="1:57" s="48" customFormat="1" ht="14.25" customHeight="1" x14ac:dyDescent="0.2">
      <c r="A871" s="717"/>
      <c r="B871" s="701"/>
      <c r="C871" s="756"/>
      <c r="D871" s="470">
        <v>2024</v>
      </c>
      <c r="E871" s="567">
        <f t="shared" si="384"/>
        <v>4.7789999999999999E-2</v>
      </c>
      <c r="F871" s="567">
        <v>4.7789999999999999E-2</v>
      </c>
      <c r="G871" s="567">
        <v>0</v>
      </c>
      <c r="H871" s="567">
        <v>0</v>
      </c>
      <c r="I871" s="567">
        <v>0</v>
      </c>
      <c r="J871" s="567">
        <v>0</v>
      </c>
      <c r="K871" s="52">
        <f t="shared" si="371"/>
        <v>4.7789999999999999E-2</v>
      </c>
      <c r="L871" s="94"/>
      <c r="M871" s="50"/>
      <c r="N871" s="95"/>
      <c r="O871" s="701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/>
      <c r="BB871" s="65"/>
      <c r="BC871" s="65"/>
      <c r="BD871" s="65"/>
      <c r="BE871" s="66"/>
    </row>
    <row r="872" spans="1:57" s="48" customFormat="1" ht="14.25" customHeight="1" x14ac:dyDescent="0.2">
      <c r="A872" s="717"/>
      <c r="B872" s="701"/>
      <c r="C872" s="757"/>
      <c r="D872" s="470">
        <v>2025</v>
      </c>
      <c r="E872" s="567">
        <f t="shared" si="384"/>
        <v>4.9700000000000001E-2</v>
      </c>
      <c r="F872" s="567">
        <v>4.9700000000000001E-2</v>
      </c>
      <c r="G872" s="567">
        <v>0</v>
      </c>
      <c r="H872" s="567">
        <v>0</v>
      </c>
      <c r="I872" s="567">
        <v>0</v>
      </c>
      <c r="J872" s="567">
        <v>0</v>
      </c>
      <c r="K872" s="52">
        <f t="shared" si="371"/>
        <v>4.9700000000000001E-2</v>
      </c>
      <c r="L872" s="94"/>
      <c r="M872" s="50"/>
      <c r="N872" s="95"/>
      <c r="O872" s="701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6"/>
    </row>
    <row r="873" spans="1:57" s="48" customFormat="1" ht="14.25" customHeight="1" x14ac:dyDescent="0.2">
      <c r="A873" s="717"/>
      <c r="B873" s="701"/>
      <c r="C873" s="755" t="s">
        <v>886</v>
      </c>
      <c r="D873" s="470">
        <v>2026</v>
      </c>
      <c r="E873" s="567">
        <f t="shared" si="384"/>
        <v>5.1688000000000005E-2</v>
      </c>
      <c r="F873" s="567">
        <f>F872*1.04</f>
        <v>5.1688000000000005E-2</v>
      </c>
      <c r="G873" s="567">
        <v>0</v>
      </c>
      <c r="H873" s="567">
        <v>0</v>
      </c>
      <c r="I873" s="567">
        <v>0</v>
      </c>
      <c r="J873" s="567">
        <v>0</v>
      </c>
      <c r="K873" s="52">
        <f t="shared" si="371"/>
        <v>5.1688000000000005E-2</v>
      </c>
      <c r="L873" s="94"/>
      <c r="M873" s="50"/>
      <c r="N873" s="95"/>
      <c r="O873" s="701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6"/>
    </row>
    <row r="874" spans="1:57" s="48" customFormat="1" ht="14.25" customHeight="1" x14ac:dyDescent="0.2">
      <c r="A874" s="717"/>
      <c r="B874" s="701"/>
      <c r="C874" s="756"/>
      <c r="D874" s="470">
        <v>2027</v>
      </c>
      <c r="E874" s="567">
        <f t="shared" si="384"/>
        <v>5.3755520000000008E-2</v>
      </c>
      <c r="F874" s="567">
        <f>F873*1.04</f>
        <v>5.3755520000000008E-2</v>
      </c>
      <c r="G874" s="567">
        <v>0</v>
      </c>
      <c r="H874" s="567">
        <v>0</v>
      </c>
      <c r="I874" s="567">
        <v>0</v>
      </c>
      <c r="J874" s="567">
        <v>0</v>
      </c>
      <c r="K874" s="52">
        <f t="shared" si="371"/>
        <v>5.3755520000000008E-2</v>
      </c>
      <c r="L874" s="94"/>
      <c r="M874" s="50"/>
      <c r="N874" s="95"/>
      <c r="O874" s="701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/>
      <c r="BB874" s="65"/>
      <c r="BC874" s="65"/>
      <c r="BD874" s="65"/>
      <c r="BE874" s="66"/>
    </row>
    <row r="875" spans="1:57" s="48" customFormat="1" ht="14.25" customHeight="1" x14ac:dyDescent="0.2">
      <c r="A875" s="717"/>
      <c r="B875" s="701"/>
      <c r="C875" s="756"/>
      <c r="D875" s="470">
        <v>2028</v>
      </c>
      <c r="E875" s="567">
        <f t="shared" si="384"/>
        <v>5.5905740800000013E-2</v>
      </c>
      <c r="F875" s="567">
        <f>F874*1.04</f>
        <v>5.5905740800000013E-2</v>
      </c>
      <c r="G875" s="567">
        <v>0</v>
      </c>
      <c r="H875" s="567">
        <v>0</v>
      </c>
      <c r="I875" s="567">
        <v>0</v>
      </c>
      <c r="J875" s="567">
        <v>0</v>
      </c>
      <c r="K875" s="52">
        <f t="shared" si="371"/>
        <v>5.5905740800000013E-2</v>
      </c>
      <c r="L875" s="94"/>
      <c r="M875" s="50"/>
      <c r="N875" s="95"/>
      <c r="O875" s="701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6"/>
    </row>
    <row r="876" spans="1:57" s="48" customFormat="1" ht="14.25" customHeight="1" x14ac:dyDescent="0.2">
      <c r="A876" s="717"/>
      <c r="B876" s="701"/>
      <c r="C876" s="756"/>
      <c r="D876" s="470">
        <v>2029</v>
      </c>
      <c r="E876" s="567">
        <f t="shared" si="384"/>
        <v>5.8141970432000013E-2</v>
      </c>
      <c r="F876" s="567">
        <f>F875*1.04</f>
        <v>5.8141970432000013E-2</v>
      </c>
      <c r="G876" s="567">
        <v>0</v>
      </c>
      <c r="H876" s="567">
        <v>0</v>
      </c>
      <c r="I876" s="567">
        <v>0</v>
      </c>
      <c r="J876" s="567">
        <v>0</v>
      </c>
      <c r="K876" s="52">
        <f t="shared" si="371"/>
        <v>5.8141970432000013E-2</v>
      </c>
      <c r="L876" s="94"/>
      <c r="M876" s="50"/>
      <c r="N876" s="95"/>
      <c r="O876" s="701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/>
      <c r="BB876" s="65"/>
      <c r="BC876" s="65"/>
      <c r="BD876" s="65"/>
      <c r="BE876" s="66"/>
    </row>
    <row r="877" spans="1:57" s="48" customFormat="1" ht="14.25" customHeight="1" x14ac:dyDescent="0.2">
      <c r="A877" s="734"/>
      <c r="B877" s="702"/>
      <c r="C877" s="757"/>
      <c r="D877" s="470">
        <v>2030</v>
      </c>
      <c r="E877" s="567">
        <f t="shared" si="384"/>
        <v>6.0467649249280019E-2</v>
      </c>
      <c r="F877" s="567">
        <f>F876*1.04</f>
        <v>6.0467649249280019E-2</v>
      </c>
      <c r="G877" s="567">
        <v>0</v>
      </c>
      <c r="H877" s="567">
        <v>0</v>
      </c>
      <c r="I877" s="567">
        <v>0</v>
      </c>
      <c r="J877" s="567">
        <v>0</v>
      </c>
      <c r="K877" s="52">
        <f t="shared" si="371"/>
        <v>6.0467649249280019E-2</v>
      </c>
      <c r="L877" s="94"/>
      <c r="M877" s="50"/>
      <c r="N877" s="95"/>
      <c r="O877" s="701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  <c r="BC877" s="65"/>
      <c r="BD877" s="65"/>
      <c r="BE877" s="66"/>
    </row>
    <row r="878" spans="1:57" s="48" customFormat="1" x14ac:dyDescent="0.2">
      <c r="A878" s="662" t="s">
        <v>762</v>
      </c>
      <c r="B878" s="631" t="s">
        <v>763</v>
      </c>
      <c r="C878" s="758"/>
      <c r="D878" s="46" t="s">
        <v>198</v>
      </c>
      <c r="E878" s="47">
        <f>SUM(E879:E890)</f>
        <v>0</v>
      </c>
      <c r="F878" s="47">
        <f t="shared" ref="F878:J878" si="385">SUM(F879:F890)</f>
        <v>0</v>
      </c>
      <c r="G878" s="47">
        <f t="shared" si="385"/>
        <v>0</v>
      </c>
      <c r="H878" s="47">
        <f t="shared" si="385"/>
        <v>0</v>
      </c>
      <c r="I878" s="47">
        <f t="shared" si="385"/>
        <v>0</v>
      </c>
      <c r="J878" s="47">
        <f t="shared" si="385"/>
        <v>0</v>
      </c>
      <c r="K878" s="52">
        <f t="shared" si="371"/>
        <v>0</v>
      </c>
      <c r="L878" s="94"/>
      <c r="M878" s="50"/>
      <c r="N878" s="95"/>
      <c r="O878" s="678" t="s">
        <v>739</v>
      </c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/>
      <c r="BB878" s="65"/>
      <c r="BC878" s="65"/>
      <c r="BD878" s="65"/>
      <c r="BE878" s="66"/>
    </row>
    <row r="879" spans="1:57" s="48" customFormat="1" ht="14.25" customHeight="1" x14ac:dyDescent="0.2">
      <c r="A879" s="717"/>
      <c r="B879" s="701"/>
      <c r="C879" s="701"/>
      <c r="D879" s="470">
        <v>2019</v>
      </c>
      <c r="E879" s="567">
        <f>F879+G879+H879+I879+J879</f>
        <v>0</v>
      </c>
      <c r="F879" s="567">
        <v>0</v>
      </c>
      <c r="G879" s="567">
        <v>0</v>
      </c>
      <c r="H879" s="567">
        <v>0</v>
      </c>
      <c r="I879" s="567">
        <v>0</v>
      </c>
      <c r="J879" s="567">
        <v>0</v>
      </c>
      <c r="K879" s="52">
        <f t="shared" si="371"/>
        <v>0</v>
      </c>
      <c r="L879" s="94"/>
      <c r="M879" s="50"/>
      <c r="N879" s="95"/>
      <c r="O879" s="678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6"/>
    </row>
    <row r="880" spans="1:57" s="48" customFormat="1" ht="14.25" customHeight="1" x14ac:dyDescent="0.2">
      <c r="A880" s="717"/>
      <c r="B880" s="701"/>
      <c r="C880" s="701"/>
      <c r="D880" s="470">
        <v>2020</v>
      </c>
      <c r="E880" s="567">
        <f t="shared" ref="E880:E890" si="386">F880+G880+H880+I880+J880</f>
        <v>0</v>
      </c>
      <c r="F880" s="567">
        <v>0</v>
      </c>
      <c r="G880" s="567">
        <v>0</v>
      </c>
      <c r="H880" s="567">
        <v>0</v>
      </c>
      <c r="I880" s="567">
        <v>0</v>
      </c>
      <c r="J880" s="567">
        <v>0</v>
      </c>
      <c r="K880" s="52">
        <f t="shared" si="371"/>
        <v>0</v>
      </c>
      <c r="L880" s="94"/>
      <c r="M880" s="50"/>
      <c r="N880" s="95"/>
      <c r="O880" s="678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/>
      <c r="BB880" s="65"/>
      <c r="BC880" s="65"/>
      <c r="BD880" s="65"/>
      <c r="BE880" s="66"/>
    </row>
    <row r="881" spans="1:57" s="48" customFormat="1" ht="14.25" customHeight="1" x14ac:dyDescent="0.2">
      <c r="A881" s="717"/>
      <c r="B881" s="701"/>
      <c r="C881" s="701"/>
      <c r="D881" s="470">
        <v>2021</v>
      </c>
      <c r="E881" s="567">
        <f t="shared" si="386"/>
        <v>0</v>
      </c>
      <c r="F881" s="567">
        <v>0</v>
      </c>
      <c r="G881" s="567">
        <v>0</v>
      </c>
      <c r="H881" s="567">
        <v>0</v>
      </c>
      <c r="I881" s="567">
        <v>0</v>
      </c>
      <c r="J881" s="567">
        <v>0</v>
      </c>
      <c r="K881" s="52">
        <f t="shared" si="371"/>
        <v>0</v>
      </c>
      <c r="L881" s="94"/>
      <c r="M881" s="50"/>
      <c r="N881" s="95"/>
      <c r="O881" s="678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  <c r="BC881" s="65"/>
      <c r="BD881" s="65"/>
      <c r="BE881" s="66"/>
    </row>
    <row r="882" spans="1:57" s="48" customFormat="1" ht="14.25" customHeight="1" x14ac:dyDescent="0.2">
      <c r="A882" s="717"/>
      <c r="B882" s="701"/>
      <c r="C882" s="701"/>
      <c r="D882" s="470">
        <v>2022</v>
      </c>
      <c r="E882" s="567">
        <f t="shared" si="386"/>
        <v>0</v>
      </c>
      <c r="F882" s="567">
        <v>0</v>
      </c>
      <c r="G882" s="567">
        <v>0</v>
      </c>
      <c r="H882" s="567">
        <v>0</v>
      </c>
      <c r="I882" s="567">
        <v>0</v>
      </c>
      <c r="J882" s="567">
        <v>0</v>
      </c>
      <c r="K882" s="52">
        <f t="shared" si="371"/>
        <v>0</v>
      </c>
      <c r="L882" s="94"/>
      <c r="M882" s="50"/>
      <c r="N882" s="95"/>
      <c r="O882" s="678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/>
      <c r="BB882" s="65"/>
      <c r="BC882" s="65"/>
      <c r="BD882" s="65"/>
      <c r="BE882" s="66"/>
    </row>
    <row r="883" spans="1:57" s="48" customFormat="1" ht="14.25" customHeight="1" x14ac:dyDescent="0.2">
      <c r="A883" s="717"/>
      <c r="B883" s="701"/>
      <c r="C883" s="701"/>
      <c r="D883" s="470">
        <v>2023</v>
      </c>
      <c r="E883" s="567">
        <f t="shared" si="386"/>
        <v>0</v>
      </c>
      <c r="F883" s="567">
        <v>0</v>
      </c>
      <c r="G883" s="567">
        <v>0</v>
      </c>
      <c r="H883" s="567">
        <v>0</v>
      </c>
      <c r="I883" s="567">
        <v>0</v>
      </c>
      <c r="J883" s="567">
        <v>0</v>
      </c>
      <c r="K883" s="52">
        <f t="shared" si="371"/>
        <v>0</v>
      </c>
      <c r="L883" s="94"/>
      <c r="M883" s="50"/>
      <c r="N883" s="95"/>
      <c r="O883" s="678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  <c r="BC883" s="65"/>
      <c r="BD883" s="65"/>
      <c r="BE883" s="66"/>
    </row>
    <row r="884" spans="1:57" s="48" customFormat="1" ht="14.25" customHeight="1" x14ac:dyDescent="0.2">
      <c r="A884" s="717"/>
      <c r="B884" s="701"/>
      <c r="C884" s="701"/>
      <c r="D884" s="470">
        <v>2024</v>
      </c>
      <c r="E884" s="567">
        <f t="shared" si="386"/>
        <v>0</v>
      </c>
      <c r="F884" s="567">
        <v>0</v>
      </c>
      <c r="G884" s="567">
        <v>0</v>
      </c>
      <c r="H884" s="567">
        <v>0</v>
      </c>
      <c r="I884" s="567">
        <v>0</v>
      </c>
      <c r="J884" s="567">
        <v>0</v>
      </c>
      <c r="K884" s="52">
        <f t="shared" si="371"/>
        <v>0</v>
      </c>
      <c r="L884" s="94"/>
      <c r="M884" s="50"/>
      <c r="N884" s="95"/>
      <c r="O884" s="678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/>
      <c r="BB884" s="65"/>
      <c r="BC884" s="65"/>
      <c r="BD884" s="65"/>
      <c r="BE884" s="66"/>
    </row>
    <row r="885" spans="1:57" s="48" customFormat="1" ht="14.25" customHeight="1" x14ac:dyDescent="0.2">
      <c r="A885" s="717"/>
      <c r="B885" s="701"/>
      <c r="C885" s="701"/>
      <c r="D885" s="470">
        <v>2025</v>
      </c>
      <c r="E885" s="567">
        <f t="shared" si="386"/>
        <v>0</v>
      </c>
      <c r="F885" s="567">
        <v>0</v>
      </c>
      <c r="G885" s="567">
        <v>0</v>
      </c>
      <c r="H885" s="567">
        <v>0</v>
      </c>
      <c r="I885" s="567">
        <v>0</v>
      </c>
      <c r="J885" s="567">
        <v>0</v>
      </c>
      <c r="K885" s="52">
        <f t="shared" si="371"/>
        <v>0</v>
      </c>
      <c r="L885" s="94"/>
      <c r="M885" s="50"/>
      <c r="N885" s="95"/>
      <c r="O885" s="678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/>
      <c r="BB885" s="65"/>
      <c r="BC885" s="65"/>
      <c r="BD885" s="65"/>
      <c r="BE885" s="66"/>
    </row>
    <row r="886" spans="1:57" s="48" customFormat="1" ht="14.25" customHeight="1" x14ac:dyDescent="0.2">
      <c r="A886" s="717"/>
      <c r="B886" s="701"/>
      <c r="C886" s="701"/>
      <c r="D886" s="470">
        <v>2026</v>
      </c>
      <c r="E886" s="567">
        <f t="shared" si="386"/>
        <v>0</v>
      </c>
      <c r="F886" s="567">
        <v>0</v>
      </c>
      <c r="G886" s="567">
        <v>0</v>
      </c>
      <c r="H886" s="567">
        <v>0</v>
      </c>
      <c r="I886" s="567">
        <v>0</v>
      </c>
      <c r="J886" s="567">
        <v>0</v>
      </c>
      <c r="K886" s="52">
        <f t="shared" si="371"/>
        <v>0</v>
      </c>
      <c r="L886" s="94"/>
      <c r="M886" s="50"/>
      <c r="N886" s="95"/>
      <c r="O886" s="678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65"/>
      <c r="BD886" s="65"/>
      <c r="BE886" s="66"/>
    </row>
    <row r="887" spans="1:57" s="48" customFormat="1" ht="14.25" customHeight="1" x14ac:dyDescent="0.2">
      <c r="A887" s="717"/>
      <c r="B887" s="701"/>
      <c r="C887" s="701"/>
      <c r="D887" s="470">
        <v>2027</v>
      </c>
      <c r="E887" s="567">
        <f t="shared" si="386"/>
        <v>0</v>
      </c>
      <c r="F887" s="567">
        <v>0</v>
      </c>
      <c r="G887" s="567">
        <v>0</v>
      </c>
      <c r="H887" s="567">
        <v>0</v>
      </c>
      <c r="I887" s="567">
        <v>0</v>
      </c>
      <c r="J887" s="567">
        <v>0</v>
      </c>
      <c r="K887" s="52">
        <f t="shared" si="371"/>
        <v>0</v>
      </c>
      <c r="L887" s="94"/>
      <c r="M887" s="50"/>
      <c r="N887" s="95"/>
      <c r="O887" s="678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/>
      <c r="BB887" s="65"/>
      <c r="BC887" s="65"/>
      <c r="BD887" s="65"/>
      <c r="BE887" s="66"/>
    </row>
    <row r="888" spans="1:57" s="48" customFormat="1" ht="14.25" customHeight="1" x14ac:dyDescent="0.2">
      <c r="A888" s="717"/>
      <c r="B888" s="701"/>
      <c r="C888" s="701"/>
      <c r="D888" s="470">
        <v>2028</v>
      </c>
      <c r="E888" s="567">
        <f t="shared" si="386"/>
        <v>0</v>
      </c>
      <c r="F888" s="567">
        <v>0</v>
      </c>
      <c r="G888" s="567">
        <v>0</v>
      </c>
      <c r="H888" s="567">
        <v>0</v>
      </c>
      <c r="I888" s="567">
        <v>0</v>
      </c>
      <c r="J888" s="567">
        <v>0</v>
      </c>
      <c r="K888" s="52">
        <f t="shared" si="371"/>
        <v>0</v>
      </c>
      <c r="L888" s="94"/>
      <c r="M888" s="50"/>
      <c r="N888" s="95"/>
      <c r="O888" s="678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/>
      <c r="BB888" s="65"/>
      <c r="BC888" s="65"/>
      <c r="BD888" s="65"/>
      <c r="BE888" s="66"/>
    </row>
    <row r="889" spans="1:57" s="48" customFormat="1" ht="14.25" customHeight="1" x14ac:dyDescent="0.2">
      <c r="A889" s="717"/>
      <c r="B889" s="701"/>
      <c r="C889" s="701"/>
      <c r="D889" s="470">
        <v>2029</v>
      </c>
      <c r="E889" s="567">
        <f t="shared" si="386"/>
        <v>0</v>
      </c>
      <c r="F889" s="567">
        <v>0</v>
      </c>
      <c r="G889" s="567">
        <v>0</v>
      </c>
      <c r="H889" s="567">
        <v>0</v>
      </c>
      <c r="I889" s="567">
        <v>0</v>
      </c>
      <c r="J889" s="567">
        <v>0</v>
      </c>
      <c r="K889" s="52">
        <f t="shared" si="371"/>
        <v>0</v>
      </c>
      <c r="L889" s="94"/>
      <c r="M889" s="50"/>
      <c r="N889" s="95"/>
      <c r="O889" s="678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/>
      <c r="BB889" s="65"/>
      <c r="BC889" s="65"/>
      <c r="BD889" s="65"/>
      <c r="BE889" s="66"/>
    </row>
    <row r="890" spans="1:57" s="48" customFormat="1" ht="14.25" customHeight="1" x14ac:dyDescent="0.2">
      <c r="A890" s="734"/>
      <c r="B890" s="702"/>
      <c r="C890" s="702"/>
      <c r="D890" s="470">
        <v>2030</v>
      </c>
      <c r="E890" s="567">
        <f t="shared" si="386"/>
        <v>0</v>
      </c>
      <c r="F890" s="567">
        <v>0</v>
      </c>
      <c r="G890" s="567">
        <v>0</v>
      </c>
      <c r="H890" s="567">
        <v>0</v>
      </c>
      <c r="I890" s="567">
        <v>0</v>
      </c>
      <c r="J890" s="567">
        <v>0</v>
      </c>
      <c r="K890" s="52">
        <f t="shared" si="371"/>
        <v>0</v>
      </c>
      <c r="L890" s="94"/>
      <c r="M890" s="50"/>
      <c r="N890" s="95"/>
      <c r="O890" s="678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/>
      <c r="BB890" s="65"/>
      <c r="BC890" s="65"/>
      <c r="BD890" s="65"/>
      <c r="BE890" s="66"/>
    </row>
    <row r="891" spans="1:57" s="48" customFormat="1" ht="14.25" customHeight="1" x14ac:dyDescent="0.2">
      <c r="A891" s="750" t="s">
        <v>698</v>
      </c>
      <c r="B891" s="649" t="s">
        <v>612</v>
      </c>
      <c r="C891" s="739"/>
      <c r="D891" s="46" t="s">
        <v>198</v>
      </c>
      <c r="E891" s="47">
        <f>E904</f>
        <v>0.63089999999999991</v>
      </c>
      <c r="F891" s="47">
        <f>F904</f>
        <v>0.63089999999999991</v>
      </c>
      <c r="G891" s="47">
        <f t="shared" ref="E891:J903" si="387">G904</f>
        <v>0</v>
      </c>
      <c r="H891" s="47">
        <f t="shared" si="387"/>
        <v>0</v>
      </c>
      <c r="I891" s="47">
        <f t="shared" si="387"/>
        <v>0</v>
      </c>
      <c r="J891" s="47">
        <f t="shared" si="387"/>
        <v>0</v>
      </c>
      <c r="K891" s="52">
        <f t="shared" si="371"/>
        <v>0.63089999999999991</v>
      </c>
      <c r="L891" s="94"/>
      <c r="M891" s="50"/>
      <c r="N891" s="95"/>
      <c r="O891" s="542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/>
      <c r="BB891" s="65"/>
      <c r="BC891" s="65"/>
      <c r="BD891" s="65"/>
      <c r="BE891" s="66"/>
    </row>
    <row r="892" spans="1:57" s="48" customFormat="1" ht="14.25" customHeight="1" x14ac:dyDescent="0.25">
      <c r="A892" s="717"/>
      <c r="B892" s="701"/>
      <c r="C892" s="701"/>
      <c r="D892" s="470">
        <v>2019</v>
      </c>
      <c r="E892" s="567">
        <f>F892+G892+H892+I892+J892</f>
        <v>4.4999999999999998E-2</v>
      </c>
      <c r="F892" s="567">
        <f t="shared" ref="F892:F898" si="388">F905</f>
        <v>4.4999999999999998E-2</v>
      </c>
      <c r="G892" s="567">
        <f t="shared" si="387"/>
        <v>0</v>
      </c>
      <c r="H892" s="567">
        <f t="shared" si="387"/>
        <v>0</v>
      </c>
      <c r="I892" s="567">
        <f t="shared" si="387"/>
        <v>0</v>
      </c>
      <c r="J892" s="567">
        <f t="shared" si="387"/>
        <v>0</v>
      </c>
      <c r="K892" s="52">
        <f t="shared" si="371"/>
        <v>4.4999999999999998E-2</v>
      </c>
      <c r="L892" s="253"/>
      <c r="M892" s="50"/>
      <c r="N892" s="95"/>
      <c r="O892" s="542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6"/>
    </row>
    <row r="893" spans="1:57" s="48" customFormat="1" ht="14.25" customHeight="1" x14ac:dyDescent="0.2">
      <c r="A893" s="717"/>
      <c r="B893" s="701"/>
      <c r="C893" s="701"/>
      <c r="D893" s="470">
        <v>2020</v>
      </c>
      <c r="E893" s="567">
        <f t="shared" si="387"/>
        <v>0.05</v>
      </c>
      <c r="F893" s="567">
        <f t="shared" si="388"/>
        <v>0.05</v>
      </c>
      <c r="G893" s="567">
        <f t="shared" si="387"/>
        <v>0</v>
      </c>
      <c r="H893" s="567">
        <f t="shared" si="387"/>
        <v>0</v>
      </c>
      <c r="I893" s="567">
        <f t="shared" si="387"/>
        <v>0</v>
      </c>
      <c r="J893" s="567">
        <f t="shared" si="387"/>
        <v>0</v>
      </c>
      <c r="K893" s="52">
        <f t="shared" si="371"/>
        <v>0.05</v>
      </c>
      <c r="L893" s="254"/>
      <c r="M893" s="50"/>
      <c r="N893" s="95"/>
      <c r="O893" s="542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  <c r="BA893" s="65"/>
      <c r="BB893" s="65"/>
      <c r="BC893" s="65"/>
      <c r="BD893" s="65"/>
      <c r="BE893" s="66"/>
    </row>
    <row r="894" spans="1:57" s="48" customFormat="1" ht="14.25" customHeight="1" x14ac:dyDescent="0.2">
      <c r="A894" s="717"/>
      <c r="B894" s="701"/>
      <c r="C894" s="701"/>
      <c r="D894" s="470">
        <v>2021</v>
      </c>
      <c r="E894" s="567">
        <f t="shared" si="387"/>
        <v>5.1999999999999998E-2</v>
      </c>
      <c r="F894" s="567">
        <f t="shared" si="388"/>
        <v>5.1999999999999998E-2</v>
      </c>
      <c r="G894" s="567">
        <f t="shared" si="387"/>
        <v>0</v>
      </c>
      <c r="H894" s="567">
        <f t="shared" si="387"/>
        <v>0</v>
      </c>
      <c r="I894" s="567">
        <f t="shared" si="387"/>
        <v>0</v>
      </c>
      <c r="J894" s="567">
        <f t="shared" si="387"/>
        <v>0</v>
      </c>
      <c r="K894" s="52">
        <f t="shared" si="371"/>
        <v>5.1999999999999998E-2</v>
      </c>
      <c r="L894" s="94"/>
      <c r="M894" s="50"/>
      <c r="N894" s="95"/>
      <c r="O894" s="542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  <c r="BA894" s="65"/>
      <c r="BB894" s="65"/>
      <c r="BC894" s="65"/>
      <c r="BD894" s="65"/>
      <c r="BE894" s="66"/>
    </row>
    <row r="895" spans="1:57" s="48" customFormat="1" ht="14.25" customHeight="1" x14ac:dyDescent="0.2">
      <c r="A895" s="717"/>
      <c r="B895" s="701"/>
      <c r="C895" s="701"/>
      <c r="D895" s="470">
        <v>2022</v>
      </c>
      <c r="E895" s="567">
        <f t="shared" si="387"/>
        <v>5.1999999999999998E-2</v>
      </c>
      <c r="F895" s="567">
        <f t="shared" si="388"/>
        <v>5.1999999999999998E-2</v>
      </c>
      <c r="G895" s="567">
        <f t="shared" si="387"/>
        <v>0</v>
      </c>
      <c r="H895" s="567">
        <f t="shared" si="387"/>
        <v>0</v>
      </c>
      <c r="I895" s="567">
        <f t="shared" si="387"/>
        <v>0</v>
      </c>
      <c r="J895" s="567">
        <f t="shared" si="387"/>
        <v>0</v>
      </c>
      <c r="K895" s="52">
        <f t="shared" si="371"/>
        <v>5.1999999999999998E-2</v>
      </c>
      <c r="L895" s="94"/>
      <c r="M895" s="50"/>
      <c r="N895" s="95"/>
      <c r="O895" s="542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  <c r="BA895" s="65"/>
      <c r="BB895" s="65"/>
      <c r="BC895" s="65"/>
      <c r="BD895" s="65"/>
      <c r="BE895" s="66"/>
    </row>
    <row r="896" spans="1:57" s="48" customFormat="1" ht="14.25" customHeight="1" x14ac:dyDescent="0.2">
      <c r="A896" s="717"/>
      <c r="B896" s="701"/>
      <c r="C896" s="701"/>
      <c r="D896" s="470">
        <v>2023</v>
      </c>
      <c r="E896" s="567">
        <f t="shared" si="387"/>
        <v>0.05</v>
      </c>
      <c r="F896" s="567">
        <f t="shared" si="388"/>
        <v>0.05</v>
      </c>
      <c r="G896" s="567">
        <f t="shared" si="387"/>
        <v>0</v>
      </c>
      <c r="H896" s="567">
        <f t="shared" si="387"/>
        <v>0</v>
      </c>
      <c r="I896" s="567">
        <f t="shared" si="387"/>
        <v>0</v>
      </c>
      <c r="J896" s="567">
        <f t="shared" si="387"/>
        <v>0</v>
      </c>
      <c r="K896" s="52">
        <f t="shared" si="371"/>
        <v>0.05</v>
      </c>
      <c r="L896" s="94"/>
      <c r="M896" s="50"/>
      <c r="N896" s="95"/>
      <c r="O896" s="542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/>
      <c r="BB896" s="65"/>
      <c r="BC896" s="65"/>
      <c r="BD896" s="65"/>
      <c r="BE896" s="66"/>
    </row>
    <row r="897" spans="1:57" s="48" customFormat="1" ht="14.25" customHeight="1" x14ac:dyDescent="0.2">
      <c r="A897" s="717"/>
      <c r="B897" s="701"/>
      <c r="C897" s="701"/>
      <c r="D897" s="470">
        <v>2024</v>
      </c>
      <c r="E897" s="567">
        <f t="shared" si="387"/>
        <v>0.05</v>
      </c>
      <c r="F897" s="567">
        <f t="shared" si="388"/>
        <v>0.05</v>
      </c>
      <c r="G897" s="567">
        <f t="shared" si="387"/>
        <v>0</v>
      </c>
      <c r="H897" s="567">
        <f t="shared" si="387"/>
        <v>0</v>
      </c>
      <c r="I897" s="567">
        <f t="shared" si="387"/>
        <v>0</v>
      </c>
      <c r="J897" s="567">
        <f t="shared" si="387"/>
        <v>0</v>
      </c>
      <c r="K897" s="52">
        <f t="shared" ref="K897:K960" si="389">F897+G897+H897+I897+J897</f>
        <v>0.05</v>
      </c>
      <c r="L897" s="94"/>
      <c r="M897" s="50"/>
      <c r="N897" s="95"/>
      <c r="O897" s="542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  <c r="BC897" s="65"/>
      <c r="BD897" s="65"/>
      <c r="BE897" s="66"/>
    </row>
    <row r="898" spans="1:57" s="48" customFormat="1" ht="14.25" customHeight="1" x14ac:dyDescent="0.2">
      <c r="A898" s="717"/>
      <c r="B898" s="701"/>
      <c r="C898" s="701"/>
      <c r="D898" s="470">
        <v>2025</v>
      </c>
      <c r="E898" s="567">
        <f t="shared" si="387"/>
        <v>0.05</v>
      </c>
      <c r="F898" s="567">
        <f t="shared" si="388"/>
        <v>0.05</v>
      </c>
      <c r="G898" s="567">
        <f t="shared" si="387"/>
        <v>0</v>
      </c>
      <c r="H898" s="567">
        <f t="shared" si="387"/>
        <v>0</v>
      </c>
      <c r="I898" s="567">
        <f t="shared" si="387"/>
        <v>0</v>
      </c>
      <c r="J898" s="567">
        <f t="shared" si="387"/>
        <v>0</v>
      </c>
      <c r="K898" s="52">
        <f t="shared" si="389"/>
        <v>0.05</v>
      </c>
      <c r="L898" s="94"/>
      <c r="M898" s="50"/>
      <c r="N898" s="95"/>
      <c r="O898" s="542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/>
      <c r="BB898" s="65"/>
      <c r="BC898" s="65"/>
      <c r="BD898" s="65"/>
      <c r="BE898" s="66"/>
    </row>
    <row r="899" spans="1:57" s="48" customFormat="1" ht="14.25" customHeight="1" x14ac:dyDescent="0.2">
      <c r="A899" s="717"/>
      <c r="B899" s="701"/>
      <c r="C899" s="701"/>
      <c r="D899" s="470">
        <v>2026</v>
      </c>
      <c r="E899" s="567">
        <f t="shared" si="387"/>
        <v>5.1999999999999998E-2</v>
      </c>
      <c r="F899" s="567">
        <v>5.1999999999999998E-2</v>
      </c>
      <c r="G899" s="567">
        <f t="shared" si="387"/>
        <v>0</v>
      </c>
      <c r="H899" s="567">
        <f t="shared" si="387"/>
        <v>0</v>
      </c>
      <c r="I899" s="567">
        <f t="shared" si="387"/>
        <v>0</v>
      </c>
      <c r="J899" s="567">
        <f t="shared" si="387"/>
        <v>0</v>
      </c>
      <c r="K899" s="52">
        <f t="shared" si="389"/>
        <v>5.1999999999999998E-2</v>
      </c>
      <c r="L899" s="94"/>
      <c r="M899" s="50"/>
      <c r="N899" s="95"/>
      <c r="O899" s="542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/>
      <c r="BB899" s="65"/>
      <c r="BC899" s="65"/>
      <c r="BD899" s="65"/>
      <c r="BE899" s="66"/>
    </row>
    <row r="900" spans="1:57" s="48" customFormat="1" ht="14.25" customHeight="1" x14ac:dyDescent="0.2">
      <c r="A900" s="717"/>
      <c r="B900" s="701"/>
      <c r="C900" s="701"/>
      <c r="D900" s="470">
        <v>2027</v>
      </c>
      <c r="E900" s="567">
        <f t="shared" si="387"/>
        <v>5.4100000000000002E-2</v>
      </c>
      <c r="F900" s="567">
        <v>5.4100000000000002E-2</v>
      </c>
      <c r="G900" s="567">
        <f t="shared" si="387"/>
        <v>0</v>
      </c>
      <c r="H900" s="567">
        <f t="shared" si="387"/>
        <v>0</v>
      </c>
      <c r="I900" s="567">
        <f t="shared" si="387"/>
        <v>0</v>
      </c>
      <c r="J900" s="567">
        <f t="shared" si="387"/>
        <v>0</v>
      </c>
      <c r="K900" s="52">
        <f t="shared" si="389"/>
        <v>5.4100000000000002E-2</v>
      </c>
      <c r="L900" s="94"/>
      <c r="M900" s="50"/>
      <c r="N900" s="95"/>
      <c r="O900" s="542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/>
      <c r="BB900" s="65"/>
      <c r="BC900" s="65"/>
      <c r="BD900" s="65"/>
      <c r="BE900" s="66"/>
    </row>
    <row r="901" spans="1:57" s="48" customFormat="1" ht="14.25" customHeight="1" x14ac:dyDescent="0.2">
      <c r="A901" s="717"/>
      <c r="B901" s="701"/>
      <c r="C901" s="701"/>
      <c r="D901" s="470">
        <v>2028</v>
      </c>
      <c r="E901" s="567">
        <f t="shared" si="387"/>
        <v>5.6300000000000003E-2</v>
      </c>
      <c r="F901" s="567">
        <v>5.6300000000000003E-2</v>
      </c>
      <c r="G901" s="567">
        <f t="shared" si="387"/>
        <v>0</v>
      </c>
      <c r="H901" s="567">
        <f t="shared" si="387"/>
        <v>0</v>
      </c>
      <c r="I901" s="567">
        <f t="shared" si="387"/>
        <v>0</v>
      </c>
      <c r="J901" s="567">
        <f t="shared" si="387"/>
        <v>0</v>
      </c>
      <c r="K901" s="52">
        <f t="shared" si="389"/>
        <v>5.6300000000000003E-2</v>
      </c>
      <c r="L901" s="94"/>
      <c r="M901" s="50"/>
      <c r="N901" s="95"/>
      <c r="O901" s="542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  <c r="BC901" s="65"/>
      <c r="BD901" s="65"/>
      <c r="BE901" s="66"/>
    </row>
    <row r="902" spans="1:57" s="48" customFormat="1" ht="14.25" customHeight="1" x14ac:dyDescent="0.2">
      <c r="A902" s="717"/>
      <c r="B902" s="701"/>
      <c r="C902" s="701"/>
      <c r="D902" s="470">
        <v>2029</v>
      </c>
      <c r="E902" s="567">
        <f t="shared" si="387"/>
        <v>5.8599999999999999E-2</v>
      </c>
      <c r="F902" s="567">
        <v>5.8599999999999999E-2</v>
      </c>
      <c r="G902" s="567">
        <f t="shared" si="387"/>
        <v>0</v>
      </c>
      <c r="H902" s="567">
        <f t="shared" si="387"/>
        <v>0</v>
      </c>
      <c r="I902" s="567">
        <f t="shared" si="387"/>
        <v>0</v>
      </c>
      <c r="J902" s="567">
        <f t="shared" si="387"/>
        <v>0</v>
      </c>
      <c r="K902" s="52">
        <f t="shared" si="389"/>
        <v>5.8599999999999999E-2</v>
      </c>
      <c r="L902" s="94"/>
      <c r="M902" s="50"/>
      <c r="N902" s="95"/>
      <c r="O902" s="542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/>
      <c r="BB902" s="65"/>
      <c r="BC902" s="65"/>
      <c r="BD902" s="65"/>
      <c r="BE902" s="66"/>
    </row>
    <row r="903" spans="1:57" s="48" customFormat="1" ht="14.25" customHeight="1" x14ac:dyDescent="0.2">
      <c r="A903" s="734"/>
      <c r="B903" s="702"/>
      <c r="C903" s="702"/>
      <c r="D903" s="470">
        <v>2030</v>
      </c>
      <c r="E903" s="567">
        <f t="shared" si="387"/>
        <v>6.0900000000000003E-2</v>
      </c>
      <c r="F903" s="567">
        <v>6.0900000000000003E-2</v>
      </c>
      <c r="G903" s="567">
        <f t="shared" si="387"/>
        <v>0</v>
      </c>
      <c r="H903" s="567">
        <f t="shared" si="387"/>
        <v>0</v>
      </c>
      <c r="I903" s="567">
        <f t="shared" si="387"/>
        <v>0</v>
      </c>
      <c r="J903" s="567">
        <f t="shared" si="387"/>
        <v>0</v>
      </c>
      <c r="K903" s="52">
        <f t="shared" si="389"/>
        <v>6.0900000000000003E-2</v>
      </c>
      <c r="L903" s="94"/>
      <c r="M903" s="50"/>
      <c r="N903" s="95"/>
      <c r="O903" s="542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  <c r="BC903" s="65"/>
      <c r="BD903" s="65"/>
      <c r="BE903" s="66"/>
    </row>
    <row r="904" spans="1:57" s="48" customFormat="1" ht="14.25" customHeight="1" x14ac:dyDescent="0.2">
      <c r="A904" s="662" t="s">
        <v>756</v>
      </c>
      <c r="B904" s="631" t="s">
        <v>757</v>
      </c>
      <c r="C904" s="516"/>
      <c r="D904" s="46" t="s">
        <v>198</v>
      </c>
      <c r="E904" s="47">
        <f>E905+E906+E907+E908+E909+E910+E911+E912+E913+E914+E915+E916</f>
        <v>0.63089999999999991</v>
      </c>
      <c r="F904" s="47">
        <f>F905+F906+F907+F908+F909+F910+F911+F912+F913+F914+F915+F916</f>
        <v>0.63089999999999991</v>
      </c>
      <c r="G904" s="47">
        <f t="shared" ref="G904:J904" si="390">G905+G906+G907+G908+G909+G910+G911+G912+G913+G914+G915+G916</f>
        <v>0</v>
      </c>
      <c r="H904" s="47">
        <f t="shared" si="390"/>
        <v>0</v>
      </c>
      <c r="I904" s="47">
        <f t="shared" si="390"/>
        <v>0</v>
      </c>
      <c r="J904" s="47">
        <f t="shared" si="390"/>
        <v>0</v>
      </c>
      <c r="K904" s="52">
        <f t="shared" si="389"/>
        <v>0.63089999999999991</v>
      </c>
      <c r="L904" s="94"/>
      <c r="M904" s="50"/>
      <c r="N904" s="95"/>
      <c r="O904" s="746" t="s">
        <v>739</v>
      </c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  <c r="BC904" s="65"/>
      <c r="BD904" s="65"/>
      <c r="BE904" s="66"/>
    </row>
    <row r="905" spans="1:57" s="48" customFormat="1" ht="14.25" customHeight="1" x14ac:dyDescent="0.2">
      <c r="A905" s="717"/>
      <c r="B905" s="648"/>
      <c r="C905" s="522" t="s">
        <v>738</v>
      </c>
      <c r="D905" s="470">
        <v>2019</v>
      </c>
      <c r="E905" s="567">
        <f>F905+G905+H905+I905+J905</f>
        <v>4.4999999999999998E-2</v>
      </c>
      <c r="F905" s="567">
        <v>4.4999999999999998E-2</v>
      </c>
      <c r="G905" s="567">
        <v>0</v>
      </c>
      <c r="H905" s="567">
        <v>0</v>
      </c>
      <c r="I905" s="567">
        <v>0</v>
      </c>
      <c r="J905" s="567">
        <v>0</v>
      </c>
      <c r="K905" s="52">
        <f t="shared" si="389"/>
        <v>4.4999999999999998E-2</v>
      </c>
      <c r="L905" s="94"/>
      <c r="M905" s="50"/>
      <c r="N905" s="95"/>
      <c r="O905" s="747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  <c r="BC905" s="65"/>
      <c r="BD905" s="65"/>
      <c r="BE905" s="66"/>
    </row>
    <row r="906" spans="1:57" s="48" customFormat="1" ht="13.5" customHeight="1" x14ac:dyDescent="0.2">
      <c r="A906" s="717"/>
      <c r="B906" s="648"/>
      <c r="C906" s="739" t="s">
        <v>885</v>
      </c>
      <c r="D906" s="470">
        <v>2020</v>
      </c>
      <c r="E906" s="567">
        <f t="shared" ref="E906:E916" si="391">F906+G906+H906+I906+J906</f>
        <v>0.05</v>
      </c>
      <c r="F906" s="567">
        <v>0.05</v>
      </c>
      <c r="G906" s="567">
        <v>0</v>
      </c>
      <c r="H906" s="567">
        <v>0</v>
      </c>
      <c r="I906" s="567">
        <v>0</v>
      </c>
      <c r="J906" s="567">
        <v>0</v>
      </c>
      <c r="K906" s="52">
        <f t="shared" si="389"/>
        <v>0.05</v>
      </c>
      <c r="L906" s="94"/>
      <c r="M906" s="50"/>
      <c r="N906" s="95"/>
      <c r="O906" s="747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/>
      <c r="BB906" s="65"/>
      <c r="BC906" s="65"/>
      <c r="BD906" s="65"/>
      <c r="BE906" s="66"/>
    </row>
    <row r="907" spans="1:57" s="48" customFormat="1" ht="14.25" customHeight="1" x14ac:dyDescent="0.2">
      <c r="A907" s="717"/>
      <c r="B907" s="648"/>
      <c r="C907" s="740"/>
      <c r="D907" s="470">
        <v>2021</v>
      </c>
      <c r="E907" s="567">
        <f t="shared" si="391"/>
        <v>5.1999999999999998E-2</v>
      </c>
      <c r="F907" s="567">
        <v>5.1999999999999998E-2</v>
      </c>
      <c r="G907" s="567">
        <v>0</v>
      </c>
      <c r="H907" s="567">
        <v>0</v>
      </c>
      <c r="I907" s="567">
        <v>0</v>
      </c>
      <c r="J907" s="567">
        <v>0</v>
      </c>
      <c r="K907" s="52">
        <f t="shared" si="389"/>
        <v>5.1999999999999998E-2</v>
      </c>
      <c r="L907" s="94"/>
      <c r="M907" s="50"/>
      <c r="N907" s="95"/>
      <c r="O907" s="747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/>
      <c r="BB907" s="65"/>
      <c r="BC907" s="65"/>
      <c r="BD907" s="65"/>
      <c r="BE907" s="66"/>
    </row>
    <row r="908" spans="1:57" s="48" customFormat="1" ht="14.25" customHeight="1" x14ac:dyDescent="0.2">
      <c r="A908" s="717"/>
      <c r="B908" s="648"/>
      <c r="C908" s="740"/>
      <c r="D908" s="470">
        <v>2022</v>
      </c>
      <c r="E908" s="567">
        <f t="shared" si="391"/>
        <v>5.1999999999999998E-2</v>
      </c>
      <c r="F908" s="567">
        <v>5.1999999999999998E-2</v>
      </c>
      <c r="G908" s="567">
        <v>0</v>
      </c>
      <c r="H908" s="567">
        <v>0</v>
      </c>
      <c r="I908" s="567">
        <v>0</v>
      </c>
      <c r="J908" s="567">
        <v>0</v>
      </c>
      <c r="K908" s="52">
        <f t="shared" si="389"/>
        <v>5.1999999999999998E-2</v>
      </c>
      <c r="L908" s="94"/>
      <c r="M908" s="50"/>
      <c r="N908" s="95"/>
      <c r="O908" s="747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/>
      <c r="BB908" s="65"/>
      <c r="BC908" s="65"/>
      <c r="BD908" s="65"/>
      <c r="BE908" s="66"/>
    </row>
    <row r="909" spans="1:57" s="48" customFormat="1" ht="14.25" customHeight="1" x14ac:dyDescent="0.2">
      <c r="A909" s="717"/>
      <c r="B909" s="648"/>
      <c r="C909" s="740"/>
      <c r="D909" s="470">
        <v>2023</v>
      </c>
      <c r="E909" s="567">
        <f t="shared" si="391"/>
        <v>0.05</v>
      </c>
      <c r="F909" s="567">
        <v>0.05</v>
      </c>
      <c r="G909" s="567">
        <v>0</v>
      </c>
      <c r="H909" s="567">
        <v>0</v>
      </c>
      <c r="I909" s="567">
        <v>0</v>
      </c>
      <c r="J909" s="567">
        <v>0</v>
      </c>
      <c r="K909" s="52">
        <f t="shared" si="389"/>
        <v>0.05</v>
      </c>
      <c r="L909" s="94"/>
      <c r="M909" s="50"/>
      <c r="N909" s="95"/>
      <c r="O909" s="747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/>
      <c r="BB909" s="65"/>
      <c r="BC909" s="65"/>
      <c r="BD909" s="65"/>
      <c r="BE909" s="66"/>
    </row>
    <row r="910" spans="1:57" s="48" customFormat="1" ht="14.25" customHeight="1" x14ac:dyDescent="0.2">
      <c r="A910" s="717"/>
      <c r="B910" s="648"/>
      <c r="C910" s="740"/>
      <c r="D910" s="470">
        <v>2024</v>
      </c>
      <c r="E910" s="567">
        <f t="shared" si="391"/>
        <v>0.05</v>
      </c>
      <c r="F910" s="567">
        <v>0.05</v>
      </c>
      <c r="G910" s="567">
        <v>0</v>
      </c>
      <c r="H910" s="567">
        <v>0</v>
      </c>
      <c r="I910" s="567">
        <v>0</v>
      </c>
      <c r="J910" s="567">
        <v>0</v>
      </c>
      <c r="K910" s="52">
        <f t="shared" si="389"/>
        <v>0.05</v>
      </c>
      <c r="L910" s="94"/>
      <c r="M910" s="50"/>
      <c r="N910" s="95"/>
      <c r="O910" s="747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/>
      <c r="BB910" s="65"/>
      <c r="BC910" s="65"/>
      <c r="BD910" s="65"/>
      <c r="BE910" s="66"/>
    </row>
    <row r="911" spans="1:57" s="48" customFormat="1" ht="14.25" customHeight="1" x14ac:dyDescent="0.2">
      <c r="A911" s="717"/>
      <c r="B911" s="648"/>
      <c r="C911" s="741"/>
      <c r="D911" s="470">
        <v>2025</v>
      </c>
      <c r="E911" s="567">
        <f t="shared" si="391"/>
        <v>0.05</v>
      </c>
      <c r="F911" s="567">
        <v>0.05</v>
      </c>
      <c r="G911" s="567">
        <v>0</v>
      </c>
      <c r="H911" s="567">
        <v>0</v>
      </c>
      <c r="I911" s="567">
        <v>0</v>
      </c>
      <c r="J911" s="567">
        <v>0</v>
      </c>
      <c r="K911" s="52">
        <f t="shared" si="389"/>
        <v>0.05</v>
      </c>
      <c r="L911" s="94"/>
      <c r="M911" s="50"/>
      <c r="N911" s="95"/>
      <c r="O911" s="747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/>
      <c r="BB911" s="65"/>
      <c r="BC911" s="65"/>
      <c r="BD911" s="65"/>
      <c r="BE911" s="66"/>
    </row>
    <row r="912" spans="1:57" s="48" customFormat="1" ht="14.25" customHeight="1" x14ac:dyDescent="0.2">
      <c r="A912" s="717"/>
      <c r="B912" s="648"/>
      <c r="C912" s="739" t="s">
        <v>886</v>
      </c>
      <c r="D912" s="470">
        <v>2026</v>
      </c>
      <c r="E912" s="567">
        <f t="shared" si="391"/>
        <v>5.1999999999999998E-2</v>
      </c>
      <c r="F912" s="567">
        <v>5.1999999999999998E-2</v>
      </c>
      <c r="G912" s="567">
        <v>0</v>
      </c>
      <c r="H912" s="567">
        <v>0</v>
      </c>
      <c r="I912" s="567">
        <v>0</v>
      </c>
      <c r="J912" s="567">
        <v>0</v>
      </c>
      <c r="K912" s="52">
        <f t="shared" si="389"/>
        <v>5.1999999999999998E-2</v>
      </c>
      <c r="L912" s="94"/>
      <c r="M912" s="50"/>
      <c r="N912" s="95"/>
      <c r="O912" s="747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/>
      <c r="BB912" s="65"/>
      <c r="BC912" s="65"/>
      <c r="BD912" s="65"/>
      <c r="BE912" s="66"/>
    </row>
    <row r="913" spans="1:57" s="48" customFormat="1" ht="14.25" customHeight="1" x14ac:dyDescent="0.2">
      <c r="A913" s="717"/>
      <c r="B913" s="648"/>
      <c r="C913" s="701"/>
      <c r="D913" s="470">
        <v>2027</v>
      </c>
      <c r="E913" s="567">
        <f t="shared" si="391"/>
        <v>5.4100000000000002E-2</v>
      </c>
      <c r="F913" s="567">
        <v>5.4100000000000002E-2</v>
      </c>
      <c r="G913" s="567">
        <v>0</v>
      </c>
      <c r="H913" s="567">
        <v>0</v>
      </c>
      <c r="I913" s="567">
        <v>0</v>
      </c>
      <c r="J913" s="567">
        <v>0</v>
      </c>
      <c r="K913" s="52">
        <f t="shared" si="389"/>
        <v>5.4100000000000002E-2</v>
      </c>
      <c r="L913" s="94"/>
      <c r="M913" s="50"/>
      <c r="N913" s="95"/>
      <c r="O913" s="747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/>
      <c r="BB913" s="65"/>
      <c r="BC913" s="65"/>
      <c r="BD913" s="65"/>
      <c r="BE913" s="66"/>
    </row>
    <row r="914" spans="1:57" s="48" customFormat="1" ht="14.25" customHeight="1" x14ac:dyDescent="0.2">
      <c r="A914" s="717"/>
      <c r="B914" s="648"/>
      <c r="C914" s="701"/>
      <c r="D914" s="470">
        <v>2028</v>
      </c>
      <c r="E914" s="567">
        <f t="shared" si="391"/>
        <v>5.6300000000000003E-2</v>
      </c>
      <c r="F914" s="567">
        <v>5.6300000000000003E-2</v>
      </c>
      <c r="G914" s="567">
        <v>0</v>
      </c>
      <c r="H914" s="567">
        <v>0</v>
      </c>
      <c r="I914" s="567">
        <v>0</v>
      </c>
      <c r="J914" s="567">
        <v>0</v>
      </c>
      <c r="K914" s="52">
        <f t="shared" si="389"/>
        <v>5.6300000000000003E-2</v>
      </c>
      <c r="L914" s="94"/>
      <c r="M914" s="50"/>
      <c r="N914" s="95"/>
      <c r="O914" s="747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/>
      <c r="BB914" s="65"/>
      <c r="BC914" s="65"/>
      <c r="BD914" s="65"/>
      <c r="BE914" s="66"/>
    </row>
    <row r="915" spans="1:57" s="48" customFormat="1" ht="14.25" customHeight="1" x14ac:dyDescent="0.2">
      <c r="A915" s="717"/>
      <c r="B915" s="648"/>
      <c r="C915" s="701"/>
      <c r="D915" s="470">
        <v>2029</v>
      </c>
      <c r="E915" s="567">
        <f t="shared" si="391"/>
        <v>5.8599999999999999E-2</v>
      </c>
      <c r="F915" s="567">
        <v>5.8599999999999999E-2</v>
      </c>
      <c r="G915" s="567">
        <v>0</v>
      </c>
      <c r="H915" s="567">
        <v>0</v>
      </c>
      <c r="I915" s="567">
        <v>0</v>
      </c>
      <c r="J915" s="567">
        <v>0</v>
      </c>
      <c r="K915" s="52">
        <f t="shared" si="389"/>
        <v>5.8599999999999999E-2</v>
      </c>
      <c r="L915" s="94"/>
      <c r="M915" s="50"/>
      <c r="N915" s="95"/>
      <c r="O915" s="747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/>
      <c r="BB915" s="65"/>
      <c r="BC915" s="65"/>
      <c r="BD915" s="65"/>
      <c r="BE915" s="66"/>
    </row>
    <row r="916" spans="1:57" s="48" customFormat="1" ht="14.25" customHeight="1" x14ac:dyDescent="0.2">
      <c r="A916" s="734"/>
      <c r="B916" s="632"/>
      <c r="C916" s="702"/>
      <c r="D916" s="470">
        <v>2030</v>
      </c>
      <c r="E916" s="567">
        <f t="shared" si="391"/>
        <v>6.0900000000000003E-2</v>
      </c>
      <c r="F916" s="567">
        <v>6.0900000000000003E-2</v>
      </c>
      <c r="G916" s="567">
        <v>0</v>
      </c>
      <c r="H916" s="567">
        <v>0</v>
      </c>
      <c r="I916" s="567">
        <v>0</v>
      </c>
      <c r="J916" s="567">
        <v>0</v>
      </c>
      <c r="K916" s="52">
        <f t="shared" si="389"/>
        <v>6.0900000000000003E-2</v>
      </c>
      <c r="L916" s="94"/>
      <c r="M916" s="50"/>
      <c r="N916" s="95"/>
      <c r="O916" s="748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/>
      <c r="BB916" s="65"/>
      <c r="BC916" s="65"/>
      <c r="BD916" s="65"/>
      <c r="BE916" s="66"/>
    </row>
    <row r="917" spans="1:57" s="48" customFormat="1" ht="14.25" customHeight="1" x14ac:dyDescent="0.2">
      <c r="A917" s="662" t="s">
        <v>700</v>
      </c>
      <c r="B917" s="649" t="s">
        <v>169</v>
      </c>
      <c r="C917" s="739"/>
      <c r="D917" s="46" t="s">
        <v>198</v>
      </c>
      <c r="E917" s="47">
        <f>E930</f>
        <v>0.11747</v>
      </c>
      <c r="F917" s="47">
        <f>F918+F919+F920+F921+F922+F923+F924+F925+F926+F927+F928+F929</f>
        <v>0.11747</v>
      </c>
      <c r="G917" s="47">
        <f t="shared" ref="G917:J917" si="392">G930</f>
        <v>0</v>
      </c>
      <c r="H917" s="47">
        <f t="shared" si="392"/>
        <v>0</v>
      </c>
      <c r="I917" s="47">
        <f t="shared" si="392"/>
        <v>0</v>
      </c>
      <c r="J917" s="47">
        <f t="shared" si="392"/>
        <v>0</v>
      </c>
      <c r="K917" s="52">
        <f t="shared" si="389"/>
        <v>0.11747</v>
      </c>
      <c r="L917" s="94"/>
      <c r="M917" s="50"/>
      <c r="N917" s="95"/>
      <c r="O917" s="542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/>
      <c r="BB917" s="65"/>
      <c r="BC917" s="65"/>
      <c r="BD917" s="65"/>
      <c r="BE917" s="66"/>
    </row>
    <row r="918" spans="1:57" s="48" customFormat="1" ht="14.25" customHeight="1" x14ac:dyDescent="0.2">
      <c r="A918" s="717"/>
      <c r="B918" s="701"/>
      <c r="C918" s="701"/>
      <c r="D918" s="470">
        <v>2019</v>
      </c>
      <c r="E918" s="567">
        <f t="shared" ref="E918:J929" si="393">E931</f>
        <v>0</v>
      </c>
      <c r="F918" s="567">
        <f t="shared" si="393"/>
        <v>0</v>
      </c>
      <c r="G918" s="567">
        <f t="shared" si="393"/>
        <v>0</v>
      </c>
      <c r="H918" s="567">
        <f t="shared" si="393"/>
        <v>0</v>
      </c>
      <c r="I918" s="567">
        <f t="shared" si="393"/>
        <v>0</v>
      </c>
      <c r="J918" s="567">
        <f t="shared" si="393"/>
        <v>0</v>
      </c>
      <c r="K918" s="52">
        <f t="shared" si="389"/>
        <v>0</v>
      </c>
      <c r="L918" s="94"/>
      <c r="M918" s="50"/>
      <c r="N918" s="95"/>
      <c r="O918" s="542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6"/>
    </row>
    <row r="919" spans="1:57" s="48" customFormat="1" ht="14.25" customHeight="1" x14ac:dyDescent="0.2">
      <c r="A919" s="717"/>
      <c r="B919" s="701"/>
      <c r="C919" s="701"/>
      <c r="D919" s="470">
        <v>2020</v>
      </c>
      <c r="E919" s="567">
        <f t="shared" si="393"/>
        <v>1.0370000000000001E-2</v>
      </c>
      <c r="F919" s="567">
        <f>F932</f>
        <v>1.0370000000000001E-2</v>
      </c>
      <c r="G919" s="567">
        <f t="shared" si="393"/>
        <v>0</v>
      </c>
      <c r="H919" s="567">
        <f t="shared" si="393"/>
        <v>0</v>
      </c>
      <c r="I919" s="567">
        <f t="shared" si="393"/>
        <v>0</v>
      </c>
      <c r="J919" s="567">
        <f t="shared" si="393"/>
        <v>0</v>
      </c>
      <c r="K919" s="52">
        <f t="shared" si="389"/>
        <v>1.0370000000000001E-2</v>
      </c>
      <c r="L919" s="94"/>
      <c r="M919" s="50"/>
      <c r="N919" s="95"/>
      <c r="O919" s="542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  <c r="BA919" s="65"/>
      <c r="BB919" s="65"/>
      <c r="BC919" s="65"/>
      <c r="BD919" s="65"/>
      <c r="BE919" s="66"/>
    </row>
    <row r="920" spans="1:57" s="48" customFormat="1" ht="14.25" customHeight="1" x14ac:dyDescent="0.2">
      <c r="A920" s="717"/>
      <c r="B920" s="701"/>
      <c r="C920" s="701"/>
      <c r="D920" s="470">
        <v>2021</v>
      </c>
      <c r="E920" s="567">
        <f t="shared" si="393"/>
        <v>1.04E-2</v>
      </c>
      <c r="F920" s="567">
        <f t="shared" si="393"/>
        <v>1.04E-2</v>
      </c>
      <c r="G920" s="567">
        <f t="shared" si="393"/>
        <v>0</v>
      </c>
      <c r="H920" s="567">
        <f t="shared" si="393"/>
        <v>0</v>
      </c>
      <c r="I920" s="567">
        <f t="shared" si="393"/>
        <v>0</v>
      </c>
      <c r="J920" s="567">
        <f t="shared" si="393"/>
        <v>0</v>
      </c>
      <c r="K920" s="52">
        <f t="shared" si="389"/>
        <v>1.04E-2</v>
      </c>
      <c r="L920" s="94"/>
      <c r="M920" s="50"/>
      <c r="N920" s="95"/>
      <c r="O920" s="542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/>
      <c r="BB920" s="65"/>
      <c r="BC920" s="65"/>
      <c r="BD920" s="65"/>
      <c r="BE920" s="66"/>
    </row>
    <row r="921" spans="1:57" s="48" customFormat="1" ht="14.25" customHeight="1" x14ac:dyDescent="0.2">
      <c r="A921" s="717"/>
      <c r="B921" s="701"/>
      <c r="C921" s="701"/>
      <c r="D921" s="470">
        <v>2022</v>
      </c>
      <c r="E921" s="567">
        <f t="shared" si="393"/>
        <v>1.04E-2</v>
      </c>
      <c r="F921" s="567">
        <f t="shared" si="393"/>
        <v>1.04E-2</v>
      </c>
      <c r="G921" s="567">
        <f t="shared" si="393"/>
        <v>0</v>
      </c>
      <c r="H921" s="567">
        <f t="shared" si="393"/>
        <v>0</v>
      </c>
      <c r="I921" s="567">
        <f t="shared" si="393"/>
        <v>0</v>
      </c>
      <c r="J921" s="567">
        <f t="shared" si="393"/>
        <v>0</v>
      </c>
      <c r="K921" s="52">
        <f t="shared" si="389"/>
        <v>1.04E-2</v>
      </c>
      <c r="L921" s="94"/>
      <c r="M921" s="50"/>
      <c r="N921" s="95"/>
      <c r="O921" s="542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  <c r="BA921" s="65"/>
      <c r="BB921" s="65"/>
      <c r="BC921" s="65"/>
      <c r="BD921" s="65"/>
      <c r="BE921" s="66"/>
    </row>
    <row r="922" spans="1:57" s="48" customFormat="1" ht="14.25" customHeight="1" x14ac:dyDescent="0.2">
      <c r="A922" s="717"/>
      <c r="B922" s="701"/>
      <c r="C922" s="701"/>
      <c r="D922" s="470">
        <v>2023</v>
      </c>
      <c r="E922" s="567">
        <f t="shared" si="393"/>
        <v>0.01</v>
      </c>
      <c r="F922" s="567">
        <f t="shared" si="393"/>
        <v>0.01</v>
      </c>
      <c r="G922" s="567">
        <f t="shared" si="393"/>
        <v>0</v>
      </c>
      <c r="H922" s="567">
        <f t="shared" si="393"/>
        <v>0</v>
      </c>
      <c r="I922" s="567">
        <f t="shared" si="393"/>
        <v>0</v>
      </c>
      <c r="J922" s="567">
        <f t="shared" si="393"/>
        <v>0</v>
      </c>
      <c r="K922" s="52">
        <f t="shared" si="389"/>
        <v>0.01</v>
      </c>
      <c r="L922" s="94"/>
      <c r="M922" s="50"/>
      <c r="N922" s="95"/>
      <c r="O922" s="542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6"/>
    </row>
    <row r="923" spans="1:57" s="48" customFormat="1" ht="14.25" customHeight="1" x14ac:dyDescent="0.2">
      <c r="A923" s="717"/>
      <c r="B923" s="701"/>
      <c r="C923" s="701"/>
      <c r="D923" s="470">
        <v>2024</v>
      </c>
      <c r="E923" s="567">
        <f t="shared" si="393"/>
        <v>0.01</v>
      </c>
      <c r="F923" s="567">
        <f t="shared" si="393"/>
        <v>0.01</v>
      </c>
      <c r="G923" s="567">
        <f t="shared" si="393"/>
        <v>0</v>
      </c>
      <c r="H923" s="567">
        <f t="shared" si="393"/>
        <v>0</v>
      </c>
      <c r="I923" s="567">
        <f t="shared" si="393"/>
        <v>0</v>
      </c>
      <c r="J923" s="567">
        <f t="shared" si="393"/>
        <v>0</v>
      </c>
      <c r="K923" s="52">
        <f t="shared" si="389"/>
        <v>0.01</v>
      </c>
      <c r="L923" s="94"/>
      <c r="M923" s="50"/>
      <c r="N923" s="95"/>
      <c r="O923" s="542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/>
      <c r="BB923" s="65"/>
      <c r="BC923" s="65"/>
      <c r="BD923" s="65"/>
      <c r="BE923" s="66"/>
    </row>
    <row r="924" spans="1:57" s="48" customFormat="1" ht="14.25" customHeight="1" x14ac:dyDescent="0.2">
      <c r="A924" s="717"/>
      <c r="B924" s="701"/>
      <c r="C924" s="701"/>
      <c r="D924" s="470">
        <v>2025</v>
      </c>
      <c r="E924" s="567">
        <f t="shared" si="393"/>
        <v>0.01</v>
      </c>
      <c r="F924" s="567">
        <f t="shared" si="393"/>
        <v>0.01</v>
      </c>
      <c r="G924" s="567">
        <f t="shared" si="393"/>
        <v>0</v>
      </c>
      <c r="H924" s="567">
        <f t="shared" si="393"/>
        <v>0</v>
      </c>
      <c r="I924" s="567">
        <f t="shared" si="393"/>
        <v>0</v>
      </c>
      <c r="J924" s="567">
        <f t="shared" si="393"/>
        <v>0</v>
      </c>
      <c r="K924" s="52">
        <f t="shared" si="389"/>
        <v>0.01</v>
      </c>
      <c r="L924" s="94"/>
      <c r="M924" s="50"/>
      <c r="N924" s="95"/>
      <c r="O924" s="542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  <c r="BC924" s="65"/>
      <c r="BD924" s="65"/>
      <c r="BE924" s="66"/>
    </row>
    <row r="925" spans="1:57" s="48" customFormat="1" ht="14.25" customHeight="1" x14ac:dyDescent="0.2">
      <c r="A925" s="717"/>
      <c r="B925" s="701"/>
      <c r="C925" s="701"/>
      <c r="D925" s="470">
        <v>2026</v>
      </c>
      <c r="E925" s="567">
        <f t="shared" si="393"/>
        <v>1.04E-2</v>
      </c>
      <c r="F925" s="567">
        <f t="shared" si="393"/>
        <v>1.04E-2</v>
      </c>
      <c r="G925" s="567">
        <f t="shared" si="393"/>
        <v>0</v>
      </c>
      <c r="H925" s="567">
        <f t="shared" si="393"/>
        <v>0</v>
      </c>
      <c r="I925" s="567">
        <f t="shared" si="393"/>
        <v>0</v>
      </c>
      <c r="J925" s="567">
        <f t="shared" si="393"/>
        <v>0</v>
      </c>
      <c r="K925" s="52">
        <f t="shared" si="389"/>
        <v>1.04E-2</v>
      </c>
      <c r="L925" s="94"/>
      <c r="M925" s="50"/>
      <c r="N925" s="95"/>
      <c r="O925" s="542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  <c r="BC925" s="65"/>
      <c r="BD925" s="65"/>
      <c r="BE925" s="66"/>
    </row>
    <row r="926" spans="1:57" s="48" customFormat="1" ht="14.25" customHeight="1" x14ac:dyDescent="0.2">
      <c r="A926" s="717"/>
      <c r="B926" s="701"/>
      <c r="C926" s="701"/>
      <c r="D926" s="470">
        <v>2027</v>
      </c>
      <c r="E926" s="567">
        <f t="shared" si="393"/>
        <v>1.0800000000000001E-2</v>
      </c>
      <c r="F926" s="567">
        <f t="shared" si="393"/>
        <v>1.0800000000000001E-2</v>
      </c>
      <c r="G926" s="567">
        <f t="shared" si="393"/>
        <v>0</v>
      </c>
      <c r="H926" s="567">
        <f t="shared" si="393"/>
        <v>0</v>
      </c>
      <c r="I926" s="567">
        <f t="shared" si="393"/>
        <v>0</v>
      </c>
      <c r="J926" s="567">
        <f t="shared" si="393"/>
        <v>0</v>
      </c>
      <c r="K926" s="52">
        <f t="shared" si="389"/>
        <v>1.0800000000000001E-2</v>
      </c>
      <c r="L926" s="94"/>
      <c r="M926" s="50"/>
      <c r="N926" s="95"/>
      <c r="O926" s="542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/>
      <c r="BB926" s="65"/>
      <c r="BC926" s="65"/>
      <c r="BD926" s="65"/>
      <c r="BE926" s="66"/>
    </row>
    <row r="927" spans="1:57" s="48" customFormat="1" ht="14.25" customHeight="1" x14ac:dyDescent="0.2">
      <c r="A927" s="717"/>
      <c r="B927" s="701"/>
      <c r="C927" s="701"/>
      <c r="D927" s="470">
        <v>2028</v>
      </c>
      <c r="E927" s="567">
        <f t="shared" si="393"/>
        <v>1.12E-2</v>
      </c>
      <c r="F927" s="567">
        <f t="shared" si="393"/>
        <v>1.12E-2</v>
      </c>
      <c r="G927" s="567">
        <f t="shared" si="393"/>
        <v>0</v>
      </c>
      <c r="H927" s="567">
        <f t="shared" si="393"/>
        <v>0</v>
      </c>
      <c r="I927" s="567">
        <f t="shared" si="393"/>
        <v>0</v>
      </c>
      <c r="J927" s="567">
        <f t="shared" si="393"/>
        <v>0</v>
      </c>
      <c r="K927" s="52">
        <f t="shared" si="389"/>
        <v>1.12E-2</v>
      </c>
      <c r="L927" s="94"/>
      <c r="M927" s="50"/>
      <c r="N927" s="95"/>
      <c r="O927" s="542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6"/>
    </row>
    <row r="928" spans="1:57" s="48" customFormat="1" ht="14.25" customHeight="1" x14ac:dyDescent="0.2">
      <c r="A928" s="717"/>
      <c r="B928" s="701"/>
      <c r="C928" s="701"/>
      <c r="D928" s="470">
        <v>2029</v>
      </c>
      <c r="E928" s="567">
        <f t="shared" si="393"/>
        <v>1.17E-2</v>
      </c>
      <c r="F928" s="567">
        <f t="shared" si="393"/>
        <v>1.17E-2</v>
      </c>
      <c r="G928" s="567">
        <f t="shared" si="393"/>
        <v>0</v>
      </c>
      <c r="H928" s="567">
        <f t="shared" si="393"/>
        <v>0</v>
      </c>
      <c r="I928" s="567">
        <f t="shared" si="393"/>
        <v>0</v>
      </c>
      <c r="J928" s="567">
        <f t="shared" si="393"/>
        <v>0</v>
      </c>
      <c r="K928" s="52">
        <f t="shared" si="389"/>
        <v>1.17E-2</v>
      </c>
      <c r="L928" s="94"/>
      <c r="M928" s="50"/>
      <c r="N928" s="95"/>
      <c r="O928" s="542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/>
      <c r="BB928" s="65"/>
      <c r="BC928" s="65"/>
      <c r="BD928" s="65"/>
      <c r="BE928" s="66"/>
    </row>
    <row r="929" spans="1:57" s="48" customFormat="1" ht="14.25" customHeight="1" x14ac:dyDescent="0.2">
      <c r="A929" s="734"/>
      <c r="B929" s="702"/>
      <c r="C929" s="702"/>
      <c r="D929" s="470">
        <v>2030</v>
      </c>
      <c r="E929" s="567">
        <f t="shared" si="393"/>
        <v>1.2200000000000001E-2</v>
      </c>
      <c r="F929" s="567">
        <f t="shared" si="393"/>
        <v>1.2200000000000001E-2</v>
      </c>
      <c r="G929" s="567">
        <f t="shared" si="393"/>
        <v>0</v>
      </c>
      <c r="H929" s="567">
        <f t="shared" si="393"/>
        <v>0</v>
      </c>
      <c r="I929" s="567">
        <f t="shared" si="393"/>
        <v>0</v>
      </c>
      <c r="J929" s="567">
        <f t="shared" si="393"/>
        <v>0</v>
      </c>
      <c r="K929" s="52">
        <f t="shared" si="389"/>
        <v>1.2200000000000001E-2</v>
      </c>
      <c r="L929" s="94"/>
      <c r="M929" s="50"/>
      <c r="N929" s="95"/>
      <c r="O929" s="542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6"/>
    </row>
    <row r="930" spans="1:57" s="48" customFormat="1" ht="14.25" customHeight="1" x14ac:dyDescent="0.2">
      <c r="A930" s="662" t="s">
        <v>758</v>
      </c>
      <c r="B930" s="631" t="s">
        <v>759</v>
      </c>
      <c r="C930" s="516"/>
      <c r="D930" s="46" t="s">
        <v>198</v>
      </c>
      <c r="E930" s="47">
        <f>E931+E932+E933+E934+E935+E936+E937+E938+E939+E940+E941+E942</f>
        <v>0.11747</v>
      </c>
      <c r="F930" s="47">
        <f>F931+F932+F933+F934+F935+F936+F937+F938+F939+F940+F941+F942</f>
        <v>0.11747</v>
      </c>
      <c r="G930" s="47">
        <f t="shared" ref="G930:J930" si="394">G931+G932+G933+G934+G935+G936+G937+G938+G939+G940+G941+G942</f>
        <v>0</v>
      </c>
      <c r="H930" s="47">
        <f t="shared" si="394"/>
        <v>0</v>
      </c>
      <c r="I930" s="47">
        <f t="shared" si="394"/>
        <v>0</v>
      </c>
      <c r="J930" s="47">
        <f t="shared" si="394"/>
        <v>0</v>
      </c>
      <c r="K930" s="52">
        <f t="shared" si="389"/>
        <v>0.11747</v>
      </c>
      <c r="L930" s="94"/>
      <c r="M930" s="50"/>
      <c r="N930" s="95"/>
      <c r="O930" s="695" t="s">
        <v>739</v>
      </c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/>
      <c r="BB930" s="65"/>
      <c r="BC930" s="65"/>
      <c r="BD930" s="65"/>
      <c r="BE930" s="66"/>
    </row>
    <row r="931" spans="1:57" s="48" customFormat="1" ht="14.25" customHeight="1" x14ac:dyDescent="0.2">
      <c r="A931" s="717"/>
      <c r="B931" s="701"/>
      <c r="C931" s="522" t="s">
        <v>738</v>
      </c>
      <c r="D931" s="470">
        <v>2019</v>
      </c>
      <c r="E931" s="567">
        <f>F931+G931+H931+I931+J931</f>
        <v>0</v>
      </c>
      <c r="F931" s="567">
        <v>0</v>
      </c>
      <c r="G931" s="567">
        <v>0</v>
      </c>
      <c r="H931" s="567">
        <v>0</v>
      </c>
      <c r="I931" s="567">
        <v>0</v>
      </c>
      <c r="J931" s="567">
        <v>0</v>
      </c>
      <c r="K931" s="52">
        <f t="shared" si="389"/>
        <v>0</v>
      </c>
      <c r="L931" s="94"/>
      <c r="M931" s="50"/>
      <c r="N931" s="95"/>
      <c r="O931" s="700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  <c r="BC931" s="65"/>
      <c r="BD931" s="65"/>
      <c r="BE931" s="66"/>
    </row>
    <row r="932" spans="1:57" s="48" customFormat="1" ht="14.25" customHeight="1" x14ac:dyDescent="0.2">
      <c r="A932" s="717"/>
      <c r="B932" s="701"/>
      <c r="C932" s="739" t="s">
        <v>885</v>
      </c>
      <c r="D932" s="470">
        <v>2020</v>
      </c>
      <c r="E932" s="567">
        <f t="shared" ref="E932:E942" si="395">F932+G932+H932+I932+J932</f>
        <v>1.0370000000000001E-2</v>
      </c>
      <c r="F932" s="567">
        <v>1.0370000000000001E-2</v>
      </c>
      <c r="G932" s="567">
        <v>0</v>
      </c>
      <c r="H932" s="567">
        <v>0</v>
      </c>
      <c r="I932" s="567">
        <v>0</v>
      </c>
      <c r="J932" s="567">
        <v>0</v>
      </c>
      <c r="K932" s="52">
        <f t="shared" si="389"/>
        <v>1.0370000000000001E-2</v>
      </c>
      <c r="L932" s="94"/>
      <c r="M932" s="50"/>
      <c r="N932" s="95"/>
      <c r="O932" s="700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/>
      <c r="BB932" s="65"/>
      <c r="BC932" s="65"/>
      <c r="BD932" s="65"/>
      <c r="BE932" s="66"/>
    </row>
    <row r="933" spans="1:57" s="48" customFormat="1" ht="14.25" customHeight="1" x14ac:dyDescent="0.2">
      <c r="A933" s="717"/>
      <c r="B933" s="701"/>
      <c r="C933" s="740"/>
      <c r="D933" s="470">
        <v>2021</v>
      </c>
      <c r="E933" s="567">
        <f t="shared" si="395"/>
        <v>1.04E-2</v>
      </c>
      <c r="F933" s="567">
        <v>1.04E-2</v>
      </c>
      <c r="G933" s="567">
        <v>0</v>
      </c>
      <c r="H933" s="567">
        <v>0</v>
      </c>
      <c r="I933" s="567">
        <v>0</v>
      </c>
      <c r="J933" s="567">
        <v>0</v>
      </c>
      <c r="K933" s="52">
        <f t="shared" si="389"/>
        <v>1.04E-2</v>
      </c>
      <c r="L933" s="94"/>
      <c r="M933" s="50"/>
      <c r="N933" s="95"/>
      <c r="O933" s="700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/>
      <c r="BB933" s="65"/>
      <c r="BC933" s="65"/>
      <c r="BD933" s="65"/>
      <c r="BE933" s="66"/>
    </row>
    <row r="934" spans="1:57" s="48" customFormat="1" ht="14.25" customHeight="1" x14ac:dyDescent="0.2">
      <c r="A934" s="717"/>
      <c r="B934" s="701"/>
      <c r="C934" s="740"/>
      <c r="D934" s="470">
        <v>2022</v>
      </c>
      <c r="E934" s="567">
        <f t="shared" si="395"/>
        <v>1.04E-2</v>
      </c>
      <c r="F934" s="567">
        <v>1.04E-2</v>
      </c>
      <c r="G934" s="567">
        <v>0</v>
      </c>
      <c r="H934" s="567">
        <v>0</v>
      </c>
      <c r="I934" s="567">
        <v>0</v>
      </c>
      <c r="J934" s="567">
        <v>0</v>
      </c>
      <c r="K934" s="52">
        <f t="shared" si="389"/>
        <v>1.04E-2</v>
      </c>
      <c r="L934" s="94"/>
      <c r="M934" s="50"/>
      <c r="N934" s="95"/>
      <c r="O934" s="700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  <c r="BC934" s="65"/>
      <c r="BD934" s="65"/>
      <c r="BE934" s="66"/>
    </row>
    <row r="935" spans="1:57" s="48" customFormat="1" ht="14.25" customHeight="1" x14ac:dyDescent="0.2">
      <c r="A935" s="717"/>
      <c r="B935" s="701"/>
      <c r="C935" s="740"/>
      <c r="D935" s="470">
        <v>2023</v>
      </c>
      <c r="E935" s="567">
        <f t="shared" si="395"/>
        <v>0.01</v>
      </c>
      <c r="F935" s="567">
        <v>0.01</v>
      </c>
      <c r="G935" s="567">
        <v>0</v>
      </c>
      <c r="H935" s="567">
        <v>0</v>
      </c>
      <c r="I935" s="567">
        <v>0</v>
      </c>
      <c r="J935" s="567">
        <v>0</v>
      </c>
      <c r="K935" s="52">
        <f t="shared" si="389"/>
        <v>0.01</v>
      </c>
      <c r="L935" s="94"/>
      <c r="M935" s="50"/>
      <c r="N935" s="95"/>
      <c r="O935" s="700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/>
      <c r="BB935" s="65"/>
      <c r="BC935" s="65"/>
      <c r="BD935" s="65"/>
      <c r="BE935" s="66"/>
    </row>
    <row r="936" spans="1:57" s="48" customFormat="1" ht="14.25" customHeight="1" x14ac:dyDescent="0.2">
      <c r="A936" s="717"/>
      <c r="B936" s="701"/>
      <c r="C936" s="740"/>
      <c r="D936" s="470">
        <v>2024</v>
      </c>
      <c r="E936" s="567">
        <f t="shared" si="395"/>
        <v>0.01</v>
      </c>
      <c r="F936" s="567">
        <v>0.01</v>
      </c>
      <c r="G936" s="567">
        <v>0</v>
      </c>
      <c r="H936" s="567">
        <v>0</v>
      </c>
      <c r="I936" s="567">
        <v>0</v>
      </c>
      <c r="J936" s="567">
        <v>0</v>
      </c>
      <c r="K936" s="52">
        <f t="shared" si="389"/>
        <v>0.01</v>
      </c>
      <c r="L936" s="94"/>
      <c r="M936" s="50"/>
      <c r="N936" s="95"/>
      <c r="O936" s="700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  <c r="BC936" s="65"/>
      <c r="BD936" s="65"/>
      <c r="BE936" s="66"/>
    </row>
    <row r="937" spans="1:57" s="48" customFormat="1" ht="14.25" customHeight="1" x14ac:dyDescent="0.2">
      <c r="A937" s="717"/>
      <c r="B937" s="701"/>
      <c r="C937" s="741"/>
      <c r="D937" s="470">
        <v>2025</v>
      </c>
      <c r="E937" s="567">
        <f t="shared" si="395"/>
        <v>0.01</v>
      </c>
      <c r="F937" s="567">
        <v>0.01</v>
      </c>
      <c r="G937" s="567">
        <v>0</v>
      </c>
      <c r="H937" s="567">
        <v>0</v>
      </c>
      <c r="I937" s="567">
        <v>0</v>
      </c>
      <c r="J937" s="567">
        <v>0</v>
      </c>
      <c r="K937" s="52">
        <f t="shared" si="389"/>
        <v>0.01</v>
      </c>
      <c r="L937" s="94"/>
      <c r="M937" s="50"/>
      <c r="N937" s="95"/>
      <c r="O937" s="700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  <c r="BC937" s="65"/>
      <c r="BD937" s="65"/>
      <c r="BE937" s="66"/>
    </row>
    <row r="938" spans="1:57" s="48" customFormat="1" ht="14.25" customHeight="1" x14ac:dyDescent="0.2">
      <c r="A938" s="717"/>
      <c r="B938" s="701"/>
      <c r="C938" s="739" t="s">
        <v>887</v>
      </c>
      <c r="D938" s="470">
        <v>2026</v>
      </c>
      <c r="E938" s="567">
        <f t="shared" si="395"/>
        <v>1.04E-2</v>
      </c>
      <c r="F938" s="567">
        <v>1.04E-2</v>
      </c>
      <c r="G938" s="567">
        <v>0</v>
      </c>
      <c r="H938" s="567">
        <v>0</v>
      </c>
      <c r="I938" s="567">
        <v>0</v>
      </c>
      <c r="J938" s="567">
        <v>0</v>
      </c>
      <c r="K938" s="52">
        <f t="shared" si="389"/>
        <v>1.04E-2</v>
      </c>
      <c r="L938" s="94"/>
      <c r="M938" s="50"/>
      <c r="N938" s="95"/>
      <c r="O938" s="700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/>
      <c r="BB938" s="65"/>
      <c r="BC938" s="65"/>
      <c r="BD938" s="65"/>
      <c r="BE938" s="66"/>
    </row>
    <row r="939" spans="1:57" s="48" customFormat="1" ht="14.25" customHeight="1" x14ac:dyDescent="0.2">
      <c r="A939" s="717"/>
      <c r="B939" s="701"/>
      <c r="C939" s="701"/>
      <c r="D939" s="470">
        <v>2027</v>
      </c>
      <c r="E939" s="567">
        <f t="shared" si="395"/>
        <v>1.0800000000000001E-2</v>
      </c>
      <c r="F939" s="567">
        <v>1.0800000000000001E-2</v>
      </c>
      <c r="G939" s="567">
        <v>0</v>
      </c>
      <c r="H939" s="567">
        <v>0</v>
      </c>
      <c r="I939" s="567">
        <v>0</v>
      </c>
      <c r="J939" s="567">
        <v>0</v>
      </c>
      <c r="K939" s="52">
        <f t="shared" si="389"/>
        <v>1.0800000000000001E-2</v>
      </c>
      <c r="L939" s="94"/>
      <c r="M939" s="50"/>
      <c r="N939" s="95"/>
      <c r="O939" s="700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/>
      <c r="BB939" s="65"/>
      <c r="BC939" s="65"/>
      <c r="BD939" s="65"/>
      <c r="BE939" s="66"/>
    </row>
    <row r="940" spans="1:57" s="48" customFormat="1" ht="14.25" customHeight="1" x14ac:dyDescent="0.2">
      <c r="A940" s="717"/>
      <c r="B940" s="701"/>
      <c r="C940" s="701"/>
      <c r="D940" s="470">
        <v>2028</v>
      </c>
      <c r="E940" s="567">
        <f t="shared" si="395"/>
        <v>1.12E-2</v>
      </c>
      <c r="F940" s="567">
        <v>1.12E-2</v>
      </c>
      <c r="G940" s="567">
        <v>0</v>
      </c>
      <c r="H940" s="567">
        <v>0</v>
      </c>
      <c r="I940" s="567">
        <v>0</v>
      </c>
      <c r="J940" s="567">
        <v>0</v>
      </c>
      <c r="K940" s="52">
        <f t="shared" si="389"/>
        <v>1.12E-2</v>
      </c>
      <c r="L940" s="94"/>
      <c r="M940" s="50"/>
      <c r="N940" s="95"/>
      <c r="O940" s="700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  <c r="BC940" s="65"/>
      <c r="BD940" s="65"/>
      <c r="BE940" s="66"/>
    </row>
    <row r="941" spans="1:57" s="48" customFormat="1" ht="14.25" customHeight="1" x14ac:dyDescent="0.2">
      <c r="A941" s="717"/>
      <c r="B941" s="701"/>
      <c r="C941" s="701"/>
      <c r="D941" s="470">
        <v>2029</v>
      </c>
      <c r="E941" s="567">
        <f t="shared" si="395"/>
        <v>1.17E-2</v>
      </c>
      <c r="F941" s="567">
        <v>1.17E-2</v>
      </c>
      <c r="G941" s="567">
        <v>0</v>
      </c>
      <c r="H941" s="567">
        <v>0</v>
      </c>
      <c r="I941" s="567">
        <v>0</v>
      </c>
      <c r="J941" s="567">
        <v>0</v>
      </c>
      <c r="K941" s="52">
        <f t="shared" si="389"/>
        <v>1.17E-2</v>
      </c>
      <c r="L941" s="94"/>
      <c r="M941" s="50"/>
      <c r="N941" s="95"/>
      <c r="O941" s="700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/>
      <c r="BB941" s="65"/>
      <c r="BC941" s="65"/>
      <c r="BD941" s="65"/>
      <c r="BE941" s="66"/>
    </row>
    <row r="942" spans="1:57" s="48" customFormat="1" ht="14.25" customHeight="1" x14ac:dyDescent="0.2">
      <c r="A942" s="734"/>
      <c r="B942" s="702"/>
      <c r="C942" s="702"/>
      <c r="D942" s="470">
        <v>2030</v>
      </c>
      <c r="E942" s="567">
        <f t="shared" si="395"/>
        <v>1.2200000000000001E-2</v>
      </c>
      <c r="F942" s="567">
        <v>1.2200000000000001E-2</v>
      </c>
      <c r="G942" s="567">
        <v>0</v>
      </c>
      <c r="H942" s="567">
        <v>0</v>
      </c>
      <c r="I942" s="567">
        <v>0</v>
      </c>
      <c r="J942" s="567">
        <v>0</v>
      </c>
      <c r="K942" s="52">
        <f t="shared" si="389"/>
        <v>1.2200000000000001E-2</v>
      </c>
      <c r="L942" s="94"/>
      <c r="M942" s="50"/>
      <c r="N942" s="95"/>
      <c r="O942" s="696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/>
      <c r="BB942" s="65"/>
      <c r="BC942" s="65"/>
      <c r="BD942" s="65"/>
      <c r="BE942" s="66"/>
    </row>
    <row r="943" spans="1:57" s="48" customFormat="1" ht="14.25" customHeight="1" x14ac:dyDescent="0.2">
      <c r="A943" s="662" t="s">
        <v>701</v>
      </c>
      <c r="B943" s="649" t="s">
        <v>613</v>
      </c>
      <c r="D943" s="46" t="s">
        <v>198</v>
      </c>
      <c r="E943" s="47">
        <f>E956</f>
        <v>1.15229</v>
      </c>
      <c r="F943" s="47">
        <f>F956</f>
        <v>1.15229</v>
      </c>
      <c r="G943" s="47">
        <f t="shared" ref="G943:J943" si="396">G956</f>
        <v>0</v>
      </c>
      <c r="H943" s="47">
        <f t="shared" si="396"/>
        <v>0</v>
      </c>
      <c r="I943" s="47">
        <f t="shared" si="396"/>
        <v>0</v>
      </c>
      <c r="J943" s="47">
        <f t="shared" si="396"/>
        <v>0</v>
      </c>
      <c r="K943" s="52">
        <f t="shared" si="389"/>
        <v>1.15229</v>
      </c>
      <c r="L943" s="94"/>
      <c r="M943" s="50"/>
      <c r="N943" s="95"/>
      <c r="O943" s="542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/>
      <c r="BB943" s="65"/>
      <c r="BC943" s="65"/>
      <c r="BD943" s="65"/>
      <c r="BE943" s="66"/>
    </row>
    <row r="944" spans="1:57" s="48" customFormat="1" ht="14.25" customHeight="1" x14ac:dyDescent="0.2">
      <c r="A944" s="717"/>
      <c r="B944" s="701"/>
      <c r="C944" s="499"/>
      <c r="D944" s="470">
        <v>2019</v>
      </c>
      <c r="E944" s="567">
        <f t="shared" ref="E944:J955" si="397">E957</f>
        <v>5.4999999999999997E-3</v>
      </c>
      <c r="F944" s="567">
        <f t="shared" si="397"/>
        <v>5.4999999999999997E-3</v>
      </c>
      <c r="G944" s="567">
        <f t="shared" si="397"/>
        <v>0</v>
      </c>
      <c r="H944" s="567">
        <f t="shared" si="397"/>
        <v>0</v>
      </c>
      <c r="I944" s="567">
        <f t="shared" si="397"/>
        <v>0</v>
      </c>
      <c r="J944" s="567">
        <f t="shared" si="397"/>
        <v>0</v>
      </c>
      <c r="K944" s="52">
        <f t="shared" si="389"/>
        <v>5.4999999999999997E-3</v>
      </c>
      <c r="L944" s="94"/>
      <c r="M944" s="50"/>
      <c r="N944" s="95"/>
      <c r="O944" s="542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6"/>
    </row>
    <row r="945" spans="1:57" s="48" customFormat="1" ht="14.25" customHeight="1" x14ac:dyDescent="0.2">
      <c r="A945" s="717"/>
      <c r="B945" s="701"/>
      <c r="C945" s="753" t="s">
        <v>885</v>
      </c>
      <c r="D945" s="470">
        <v>2020</v>
      </c>
      <c r="E945" s="567">
        <f>E958</f>
        <v>7.3419999999999999E-2</v>
      </c>
      <c r="F945" s="567">
        <f t="shared" si="397"/>
        <v>7.3419999999999999E-2</v>
      </c>
      <c r="G945" s="567">
        <f t="shared" si="397"/>
        <v>0</v>
      </c>
      <c r="H945" s="567">
        <f t="shared" si="397"/>
        <v>0</v>
      </c>
      <c r="I945" s="567">
        <f t="shared" si="397"/>
        <v>0</v>
      </c>
      <c r="J945" s="567">
        <f t="shared" si="397"/>
        <v>0</v>
      </c>
      <c r="K945" s="52">
        <f t="shared" si="389"/>
        <v>7.3419999999999999E-2</v>
      </c>
      <c r="L945" s="94"/>
      <c r="M945" s="50"/>
      <c r="N945" s="95"/>
      <c r="O945" s="542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  <c r="BA945" s="65"/>
      <c r="BB945" s="65"/>
      <c r="BC945" s="65"/>
      <c r="BD945" s="65"/>
      <c r="BE945" s="66"/>
    </row>
    <row r="946" spans="1:57" s="48" customFormat="1" ht="14.25" customHeight="1" x14ac:dyDescent="0.2">
      <c r="A946" s="717"/>
      <c r="B946" s="701"/>
      <c r="C946" s="753"/>
      <c r="D946" s="470">
        <v>2021</v>
      </c>
      <c r="E946" s="567">
        <f t="shared" si="397"/>
        <v>7.6359999999999997E-2</v>
      </c>
      <c r="F946" s="567">
        <f t="shared" si="397"/>
        <v>7.6359999999999997E-2</v>
      </c>
      <c r="G946" s="567">
        <f t="shared" si="397"/>
        <v>0</v>
      </c>
      <c r="H946" s="567">
        <f t="shared" si="397"/>
        <v>0</v>
      </c>
      <c r="I946" s="567">
        <f t="shared" si="397"/>
        <v>0</v>
      </c>
      <c r="J946" s="567">
        <f t="shared" si="397"/>
        <v>0</v>
      </c>
      <c r="K946" s="52">
        <f t="shared" si="389"/>
        <v>7.6359999999999997E-2</v>
      </c>
      <c r="L946" s="94"/>
      <c r="M946" s="50"/>
      <c r="N946" s="95"/>
      <c r="O946" s="542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  <c r="AP946" s="65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  <c r="BA946" s="65"/>
      <c r="BB946" s="65"/>
      <c r="BC946" s="65"/>
      <c r="BD946" s="65"/>
      <c r="BE946" s="66"/>
    </row>
    <row r="947" spans="1:57" s="48" customFormat="1" ht="14.25" customHeight="1" x14ac:dyDescent="0.2">
      <c r="A947" s="717"/>
      <c r="B947" s="701"/>
      <c r="C947" s="753"/>
      <c r="D947" s="470">
        <v>2022</v>
      </c>
      <c r="E947" s="567">
        <f t="shared" si="397"/>
        <v>7.9409999999999994E-2</v>
      </c>
      <c r="F947" s="567">
        <f t="shared" si="397"/>
        <v>7.9409999999999994E-2</v>
      </c>
      <c r="G947" s="567">
        <f t="shared" si="397"/>
        <v>0</v>
      </c>
      <c r="H947" s="567">
        <f t="shared" si="397"/>
        <v>0</v>
      </c>
      <c r="I947" s="567">
        <f t="shared" si="397"/>
        <v>0</v>
      </c>
      <c r="J947" s="567">
        <f t="shared" si="397"/>
        <v>0</v>
      </c>
      <c r="K947" s="52">
        <f t="shared" si="389"/>
        <v>7.9409999999999994E-2</v>
      </c>
      <c r="L947" s="94"/>
      <c r="M947" s="50"/>
      <c r="N947" s="95"/>
      <c r="O947" s="542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  <c r="AP947" s="65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  <c r="BA947" s="65"/>
      <c r="BB947" s="65"/>
      <c r="BC947" s="65"/>
      <c r="BD947" s="65"/>
      <c r="BE947" s="66"/>
    </row>
    <row r="948" spans="1:57" s="48" customFormat="1" ht="14.25" customHeight="1" x14ac:dyDescent="0.2">
      <c r="A948" s="717"/>
      <c r="B948" s="701"/>
      <c r="C948" s="753"/>
      <c r="D948" s="470">
        <v>2023</v>
      </c>
      <c r="E948" s="567">
        <f t="shared" si="397"/>
        <v>9.9599999999999994E-2</v>
      </c>
      <c r="F948" s="567">
        <f t="shared" si="397"/>
        <v>9.9599999999999994E-2</v>
      </c>
      <c r="G948" s="567">
        <f t="shared" si="397"/>
        <v>0</v>
      </c>
      <c r="H948" s="567">
        <f t="shared" si="397"/>
        <v>0</v>
      </c>
      <c r="I948" s="567">
        <f t="shared" si="397"/>
        <v>0</v>
      </c>
      <c r="J948" s="567">
        <f t="shared" si="397"/>
        <v>0</v>
      </c>
      <c r="K948" s="52">
        <f t="shared" si="389"/>
        <v>9.9599999999999994E-2</v>
      </c>
      <c r="L948" s="94"/>
      <c r="M948" s="50"/>
      <c r="N948" s="95"/>
      <c r="O948" s="542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/>
      <c r="BB948" s="65"/>
      <c r="BC948" s="65"/>
      <c r="BD948" s="65"/>
      <c r="BE948" s="66"/>
    </row>
    <row r="949" spans="1:57" s="48" customFormat="1" ht="14.25" customHeight="1" x14ac:dyDescent="0.2">
      <c r="A949" s="717"/>
      <c r="B949" s="701"/>
      <c r="C949" s="753"/>
      <c r="D949" s="470">
        <v>2024</v>
      </c>
      <c r="E949" s="567">
        <f t="shared" si="397"/>
        <v>0.1036</v>
      </c>
      <c r="F949" s="567">
        <f t="shared" si="397"/>
        <v>0.1036</v>
      </c>
      <c r="G949" s="567">
        <f t="shared" si="397"/>
        <v>0</v>
      </c>
      <c r="H949" s="567">
        <f t="shared" si="397"/>
        <v>0</v>
      </c>
      <c r="I949" s="567">
        <f t="shared" si="397"/>
        <v>0</v>
      </c>
      <c r="J949" s="567">
        <f t="shared" si="397"/>
        <v>0</v>
      </c>
      <c r="K949" s="52">
        <f t="shared" si="389"/>
        <v>0.1036</v>
      </c>
      <c r="L949" s="94"/>
      <c r="M949" s="50"/>
      <c r="N949" s="95"/>
      <c r="O949" s="542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/>
      <c r="BB949" s="65"/>
      <c r="BC949" s="65"/>
      <c r="BD949" s="65"/>
      <c r="BE949" s="66"/>
    </row>
    <row r="950" spans="1:57" s="48" customFormat="1" ht="14.25" customHeight="1" x14ac:dyDescent="0.2">
      <c r="A950" s="717"/>
      <c r="B950" s="701"/>
      <c r="C950" s="753"/>
      <c r="D950" s="470">
        <v>2025</v>
      </c>
      <c r="E950" s="567">
        <f t="shared" si="397"/>
        <v>0.1077</v>
      </c>
      <c r="F950" s="567">
        <f t="shared" si="397"/>
        <v>0.1077</v>
      </c>
      <c r="G950" s="567">
        <f t="shared" si="397"/>
        <v>0</v>
      </c>
      <c r="H950" s="567">
        <f t="shared" si="397"/>
        <v>0</v>
      </c>
      <c r="I950" s="567">
        <f t="shared" si="397"/>
        <v>0</v>
      </c>
      <c r="J950" s="567">
        <f t="shared" si="397"/>
        <v>0</v>
      </c>
      <c r="K950" s="52">
        <f t="shared" si="389"/>
        <v>0.1077</v>
      </c>
      <c r="L950" s="94"/>
      <c r="M950" s="50"/>
      <c r="N950" s="95"/>
      <c r="O950" s="542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/>
      <c r="BB950" s="65"/>
      <c r="BC950" s="65"/>
      <c r="BD950" s="65"/>
      <c r="BE950" s="66"/>
    </row>
    <row r="951" spans="1:57" s="48" customFormat="1" ht="14.25" customHeight="1" x14ac:dyDescent="0.2">
      <c r="A951" s="717"/>
      <c r="B951" s="701"/>
      <c r="C951" s="499"/>
      <c r="D951" s="470">
        <v>2026</v>
      </c>
      <c r="E951" s="567">
        <f t="shared" si="397"/>
        <v>0.112</v>
      </c>
      <c r="F951" s="567">
        <f t="shared" si="397"/>
        <v>0.112</v>
      </c>
      <c r="G951" s="567">
        <f t="shared" si="397"/>
        <v>0</v>
      </c>
      <c r="H951" s="567">
        <f t="shared" si="397"/>
        <v>0</v>
      </c>
      <c r="I951" s="567">
        <f t="shared" si="397"/>
        <v>0</v>
      </c>
      <c r="J951" s="567">
        <f t="shared" si="397"/>
        <v>0</v>
      </c>
      <c r="K951" s="52">
        <f t="shared" si="389"/>
        <v>0.112</v>
      </c>
      <c r="L951" s="94"/>
      <c r="M951" s="50"/>
      <c r="N951" s="95"/>
      <c r="O951" s="542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/>
      <c r="BB951" s="65"/>
      <c r="BC951" s="65"/>
      <c r="BD951" s="65"/>
      <c r="BE951" s="66"/>
    </row>
    <row r="952" spans="1:57" s="48" customFormat="1" ht="14.25" customHeight="1" x14ac:dyDescent="0.2">
      <c r="A952" s="717"/>
      <c r="B952" s="701"/>
      <c r="C952" s="753" t="s">
        <v>1080</v>
      </c>
      <c r="D952" s="470">
        <v>2027</v>
      </c>
      <c r="E952" s="567">
        <f t="shared" si="397"/>
        <v>0.11650000000000001</v>
      </c>
      <c r="F952" s="567">
        <f t="shared" si="397"/>
        <v>0.11650000000000001</v>
      </c>
      <c r="G952" s="567">
        <f t="shared" si="397"/>
        <v>0</v>
      </c>
      <c r="H952" s="567">
        <f t="shared" si="397"/>
        <v>0</v>
      </c>
      <c r="I952" s="567">
        <f t="shared" si="397"/>
        <v>0</v>
      </c>
      <c r="J952" s="567">
        <f t="shared" si="397"/>
        <v>0</v>
      </c>
      <c r="K952" s="52">
        <f t="shared" si="389"/>
        <v>0.11650000000000001</v>
      </c>
      <c r="L952" s="94"/>
      <c r="M952" s="50"/>
      <c r="N952" s="95"/>
      <c r="O952" s="542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/>
      <c r="BB952" s="65"/>
      <c r="BC952" s="65"/>
      <c r="BD952" s="65"/>
      <c r="BE952" s="66"/>
    </row>
    <row r="953" spans="1:57" s="48" customFormat="1" ht="14.25" customHeight="1" x14ac:dyDescent="0.2">
      <c r="A953" s="717"/>
      <c r="B953" s="701"/>
      <c r="C953" s="753"/>
      <c r="D953" s="470">
        <v>2028</v>
      </c>
      <c r="E953" s="567">
        <f t="shared" si="397"/>
        <v>0.1212</v>
      </c>
      <c r="F953" s="567">
        <f t="shared" si="397"/>
        <v>0.1212</v>
      </c>
      <c r="G953" s="567">
        <f t="shared" si="397"/>
        <v>0</v>
      </c>
      <c r="H953" s="567">
        <f t="shared" si="397"/>
        <v>0</v>
      </c>
      <c r="I953" s="567">
        <f t="shared" si="397"/>
        <v>0</v>
      </c>
      <c r="J953" s="567">
        <f t="shared" si="397"/>
        <v>0</v>
      </c>
      <c r="K953" s="52">
        <f t="shared" si="389"/>
        <v>0.1212</v>
      </c>
      <c r="L953" s="94"/>
      <c r="M953" s="50"/>
      <c r="N953" s="95"/>
      <c r="O953" s="542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/>
      <c r="BB953" s="65"/>
      <c r="BC953" s="65"/>
      <c r="BD953" s="65"/>
      <c r="BE953" s="66"/>
    </row>
    <row r="954" spans="1:57" s="48" customFormat="1" ht="14.25" customHeight="1" x14ac:dyDescent="0.2">
      <c r="A954" s="717"/>
      <c r="B954" s="701"/>
      <c r="C954" s="753"/>
      <c r="D954" s="470">
        <v>2029</v>
      </c>
      <c r="E954" s="567">
        <f t="shared" si="397"/>
        <v>0.126</v>
      </c>
      <c r="F954" s="567">
        <f t="shared" si="397"/>
        <v>0.126</v>
      </c>
      <c r="G954" s="567">
        <f t="shared" si="397"/>
        <v>0</v>
      </c>
      <c r="H954" s="567">
        <f t="shared" si="397"/>
        <v>0</v>
      </c>
      <c r="I954" s="567">
        <f t="shared" si="397"/>
        <v>0</v>
      </c>
      <c r="J954" s="567">
        <f t="shared" si="397"/>
        <v>0</v>
      </c>
      <c r="K954" s="52">
        <f t="shared" si="389"/>
        <v>0.126</v>
      </c>
      <c r="L954" s="94"/>
      <c r="M954" s="50"/>
      <c r="N954" s="95"/>
      <c r="O954" s="542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/>
      <c r="BB954" s="65"/>
      <c r="BC954" s="65"/>
      <c r="BD954" s="65"/>
      <c r="BE954" s="66"/>
    </row>
    <row r="955" spans="1:57" s="48" customFormat="1" ht="14.25" customHeight="1" x14ac:dyDescent="0.2">
      <c r="A955" s="734"/>
      <c r="B955" s="702"/>
      <c r="C955" s="753"/>
      <c r="D955" s="470">
        <v>2030</v>
      </c>
      <c r="E955" s="567">
        <f t="shared" si="397"/>
        <v>0.13100000000000001</v>
      </c>
      <c r="F955" s="567">
        <f t="shared" si="397"/>
        <v>0.13100000000000001</v>
      </c>
      <c r="G955" s="567">
        <f t="shared" si="397"/>
        <v>0</v>
      </c>
      <c r="H955" s="567">
        <f t="shared" si="397"/>
        <v>0</v>
      </c>
      <c r="I955" s="567">
        <f t="shared" si="397"/>
        <v>0</v>
      </c>
      <c r="J955" s="567">
        <f t="shared" si="397"/>
        <v>0</v>
      </c>
      <c r="K955" s="52">
        <f t="shared" si="389"/>
        <v>0.13100000000000001</v>
      </c>
      <c r="L955" s="94"/>
      <c r="M955" s="50"/>
      <c r="N955" s="95"/>
      <c r="O955" s="542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/>
      <c r="BB955" s="65"/>
      <c r="BC955" s="65"/>
      <c r="BD955" s="65"/>
      <c r="BE955" s="66"/>
    </row>
    <row r="956" spans="1:57" s="48" customFormat="1" ht="21.75" customHeight="1" x14ac:dyDescent="0.2">
      <c r="A956" s="662" t="s">
        <v>741</v>
      </c>
      <c r="B956" s="631" t="s">
        <v>742</v>
      </c>
      <c r="C956" s="137"/>
      <c r="D956" s="46" t="s">
        <v>198</v>
      </c>
      <c r="E956" s="47">
        <f>E957+E958+E959+E960+E961+E962+E963+E964+E965+E966+E967+E968</f>
        <v>1.15229</v>
      </c>
      <c r="F956" s="47">
        <f>F957+F958+F959+F960+F961+F962+F963+F964+F965+F966+F967+F968</f>
        <v>1.15229</v>
      </c>
      <c r="G956" s="47">
        <f t="shared" ref="G956:J956" si="398">G957+G958+G959+G960+G961+G962+G963+G964+G965+G966+G967+G968</f>
        <v>0</v>
      </c>
      <c r="H956" s="47">
        <f t="shared" si="398"/>
        <v>0</v>
      </c>
      <c r="I956" s="47">
        <f t="shared" si="398"/>
        <v>0</v>
      </c>
      <c r="J956" s="47">
        <f t="shared" si="398"/>
        <v>0</v>
      </c>
      <c r="K956" s="52">
        <f t="shared" si="389"/>
        <v>1.15229</v>
      </c>
      <c r="L956" s="94"/>
      <c r="M956" s="50"/>
      <c r="N956" s="95"/>
      <c r="O956" s="746" t="s">
        <v>739</v>
      </c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/>
      <c r="BB956" s="65"/>
      <c r="BC956" s="65"/>
      <c r="BD956" s="65"/>
      <c r="BE956" s="66"/>
    </row>
    <row r="957" spans="1:57" s="48" customFormat="1" ht="14.25" customHeight="1" x14ac:dyDescent="0.2">
      <c r="A957" s="717"/>
      <c r="B957" s="701"/>
      <c r="C957" s="522" t="s">
        <v>738</v>
      </c>
      <c r="D957" s="470">
        <v>2019</v>
      </c>
      <c r="E957" s="567">
        <f>F957+G957+H957+I957+J957</f>
        <v>5.4999999999999997E-3</v>
      </c>
      <c r="F957" s="567">
        <v>5.4999999999999997E-3</v>
      </c>
      <c r="G957" s="567">
        <v>0</v>
      </c>
      <c r="H957" s="567">
        <v>0</v>
      </c>
      <c r="I957" s="567">
        <v>0</v>
      </c>
      <c r="J957" s="567">
        <v>0</v>
      </c>
      <c r="K957" s="52">
        <f t="shared" si="389"/>
        <v>5.4999999999999997E-3</v>
      </c>
      <c r="L957" s="94"/>
      <c r="M957" s="50"/>
      <c r="N957" s="95"/>
      <c r="O957" s="747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/>
      <c r="BB957" s="65"/>
      <c r="BC957" s="65"/>
      <c r="BD957" s="65"/>
      <c r="BE957" s="66"/>
    </row>
    <row r="958" spans="1:57" s="48" customFormat="1" ht="14.25" customHeight="1" x14ac:dyDescent="0.2">
      <c r="A958" s="717"/>
      <c r="B958" s="701"/>
      <c r="C958" s="739" t="s">
        <v>885</v>
      </c>
      <c r="D958" s="470">
        <v>2020</v>
      </c>
      <c r="E958" s="567">
        <f>F958+G958+H958+I958+J958</f>
        <v>7.3419999999999999E-2</v>
      </c>
      <c r="F958" s="567">
        <v>7.3419999999999999E-2</v>
      </c>
      <c r="G958" s="567">
        <v>0</v>
      </c>
      <c r="H958" s="567">
        <v>0</v>
      </c>
      <c r="I958" s="567">
        <v>0</v>
      </c>
      <c r="J958" s="567">
        <v>0</v>
      </c>
      <c r="K958" s="52">
        <f t="shared" si="389"/>
        <v>7.3419999999999999E-2</v>
      </c>
      <c r="L958" s="94"/>
      <c r="M958" s="50"/>
      <c r="N958" s="95"/>
      <c r="O958" s="747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/>
      <c r="BB958" s="65"/>
      <c r="BC958" s="65"/>
      <c r="BD958" s="65"/>
      <c r="BE958" s="66"/>
    </row>
    <row r="959" spans="1:57" s="48" customFormat="1" ht="14.25" customHeight="1" x14ac:dyDescent="0.2">
      <c r="A959" s="717"/>
      <c r="B959" s="701"/>
      <c r="C959" s="740"/>
      <c r="D959" s="470">
        <v>2021</v>
      </c>
      <c r="E959" s="567">
        <f t="shared" ref="E959:E968" si="399">F959+G959+H959+I959+J959</f>
        <v>7.6359999999999997E-2</v>
      </c>
      <c r="F959" s="567">
        <v>7.6359999999999997E-2</v>
      </c>
      <c r="G959" s="567">
        <v>0</v>
      </c>
      <c r="H959" s="567">
        <v>0</v>
      </c>
      <c r="I959" s="567">
        <v>0</v>
      </c>
      <c r="J959" s="567">
        <v>0</v>
      </c>
      <c r="K959" s="52">
        <f t="shared" si="389"/>
        <v>7.6359999999999997E-2</v>
      </c>
      <c r="L959" s="94"/>
      <c r="M959" s="50"/>
      <c r="N959" s="95"/>
      <c r="O959" s="747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  <c r="BC959" s="65"/>
      <c r="BD959" s="65"/>
      <c r="BE959" s="66"/>
    </row>
    <row r="960" spans="1:57" s="48" customFormat="1" ht="14.25" customHeight="1" x14ac:dyDescent="0.2">
      <c r="A960" s="717"/>
      <c r="B960" s="701"/>
      <c r="C960" s="740"/>
      <c r="D960" s="470">
        <v>2022</v>
      </c>
      <c r="E960" s="567">
        <f t="shared" si="399"/>
        <v>7.9409999999999994E-2</v>
      </c>
      <c r="F960" s="567">
        <v>7.9409999999999994E-2</v>
      </c>
      <c r="G960" s="567">
        <v>0</v>
      </c>
      <c r="H960" s="567">
        <v>0</v>
      </c>
      <c r="I960" s="567">
        <v>0</v>
      </c>
      <c r="J960" s="567">
        <v>0</v>
      </c>
      <c r="K960" s="52">
        <f t="shared" si="389"/>
        <v>7.9409999999999994E-2</v>
      </c>
      <c r="L960" s="94"/>
      <c r="M960" s="50"/>
      <c r="N960" s="95"/>
      <c r="O960" s="747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  <c r="BC960" s="65"/>
      <c r="BD960" s="65"/>
      <c r="BE960" s="66"/>
    </row>
    <row r="961" spans="1:57" s="48" customFormat="1" ht="14.25" customHeight="1" x14ac:dyDescent="0.2">
      <c r="A961" s="717"/>
      <c r="B961" s="701"/>
      <c r="C961" s="740"/>
      <c r="D961" s="470">
        <v>2023</v>
      </c>
      <c r="E961" s="567">
        <f t="shared" si="399"/>
        <v>9.9599999999999994E-2</v>
      </c>
      <c r="F961" s="567">
        <v>9.9599999999999994E-2</v>
      </c>
      <c r="G961" s="567">
        <v>0</v>
      </c>
      <c r="H961" s="567">
        <v>0</v>
      </c>
      <c r="I961" s="567">
        <v>0</v>
      </c>
      <c r="J961" s="567">
        <v>0</v>
      </c>
      <c r="K961" s="52">
        <f t="shared" ref="K961:K1023" si="400">F961+G961+H961+I961+J961</f>
        <v>9.9599999999999994E-2</v>
      </c>
      <c r="L961" s="94"/>
      <c r="M961" s="50"/>
      <c r="N961" s="95"/>
      <c r="O961" s="747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  <c r="BC961" s="65"/>
      <c r="BD961" s="65"/>
      <c r="BE961" s="66"/>
    </row>
    <row r="962" spans="1:57" s="48" customFormat="1" ht="14.25" customHeight="1" x14ac:dyDescent="0.2">
      <c r="A962" s="717"/>
      <c r="B962" s="701"/>
      <c r="C962" s="740"/>
      <c r="D962" s="470">
        <v>2024</v>
      </c>
      <c r="E962" s="567">
        <f t="shared" si="399"/>
        <v>0.1036</v>
      </c>
      <c r="F962" s="567">
        <v>0.1036</v>
      </c>
      <c r="G962" s="567">
        <v>0</v>
      </c>
      <c r="H962" s="567">
        <v>0</v>
      </c>
      <c r="I962" s="567">
        <v>0</v>
      </c>
      <c r="J962" s="567">
        <v>0</v>
      </c>
      <c r="K962" s="52">
        <f t="shared" si="400"/>
        <v>0.1036</v>
      </c>
      <c r="L962" s="94"/>
      <c r="M962" s="50"/>
      <c r="N962" s="95"/>
      <c r="O962" s="747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/>
      <c r="BB962" s="65"/>
      <c r="BC962" s="65"/>
      <c r="BD962" s="65"/>
      <c r="BE962" s="66"/>
    </row>
    <row r="963" spans="1:57" s="48" customFormat="1" ht="14.25" customHeight="1" x14ac:dyDescent="0.2">
      <c r="A963" s="717"/>
      <c r="B963" s="701"/>
      <c r="C963" s="741"/>
      <c r="D963" s="470">
        <v>2025</v>
      </c>
      <c r="E963" s="567">
        <f t="shared" si="399"/>
        <v>0.1077</v>
      </c>
      <c r="F963" s="567">
        <v>0.1077</v>
      </c>
      <c r="G963" s="567">
        <v>0</v>
      </c>
      <c r="H963" s="567">
        <v>0</v>
      </c>
      <c r="I963" s="567">
        <v>0</v>
      </c>
      <c r="J963" s="567">
        <v>0</v>
      </c>
      <c r="K963" s="52">
        <f t="shared" si="400"/>
        <v>0.1077</v>
      </c>
      <c r="L963" s="94"/>
      <c r="M963" s="50"/>
      <c r="N963" s="95"/>
      <c r="O963" s="747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  <c r="BC963" s="65"/>
      <c r="BD963" s="65"/>
      <c r="BE963" s="66"/>
    </row>
    <row r="964" spans="1:57" s="48" customFormat="1" ht="14.25" customHeight="1" x14ac:dyDescent="0.2">
      <c r="A964" s="717"/>
      <c r="B964" s="701"/>
      <c r="C964" s="739" t="s">
        <v>886</v>
      </c>
      <c r="D964" s="470">
        <v>2026</v>
      </c>
      <c r="E964" s="567">
        <f t="shared" si="399"/>
        <v>0.112</v>
      </c>
      <c r="F964" s="567">
        <v>0.112</v>
      </c>
      <c r="G964" s="567">
        <v>0</v>
      </c>
      <c r="H964" s="567">
        <v>0</v>
      </c>
      <c r="I964" s="567">
        <v>0</v>
      </c>
      <c r="J964" s="567">
        <v>0</v>
      </c>
      <c r="K964" s="52">
        <f t="shared" si="400"/>
        <v>0.112</v>
      </c>
      <c r="L964" s="94"/>
      <c r="M964" s="50"/>
      <c r="N964" s="95"/>
      <c r="O964" s="747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  <c r="BC964" s="65"/>
      <c r="BD964" s="65"/>
      <c r="BE964" s="66"/>
    </row>
    <row r="965" spans="1:57" s="48" customFormat="1" ht="14.25" customHeight="1" x14ac:dyDescent="0.2">
      <c r="A965" s="717"/>
      <c r="B965" s="701"/>
      <c r="C965" s="740"/>
      <c r="D965" s="470">
        <v>2027</v>
      </c>
      <c r="E965" s="567">
        <f t="shared" si="399"/>
        <v>0.11650000000000001</v>
      </c>
      <c r="F965" s="567">
        <v>0.11650000000000001</v>
      </c>
      <c r="G965" s="567">
        <v>0</v>
      </c>
      <c r="H965" s="567">
        <v>0</v>
      </c>
      <c r="I965" s="567">
        <v>0</v>
      </c>
      <c r="J965" s="567">
        <v>0</v>
      </c>
      <c r="K965" s="52">
        <f t="shared" si="400"/>
        <v>0.11650000000000001</v>
      </c>
      <c r="L965" s="94"/>
      <c r="M965" s="50"/>
      <c r="N965" s="95"/>
      <c r="O965" s="747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/>
      <c r="BB965" s="65"/>
      <c r="BC965" s="65"/>
      <c r="BD965" s="65"/>
      <c r="BE965" s="66"/>
    </row>
    <row r="966" spans="1:57" s="48" customFormat="1" ht="14.25" customHeight="1" x14ac:dyDescent="0.2">
      <c r="A966" s="717"/>
      <c r="B966" s="701"/>
      <c r="C966" s="740"/>
      <c r="D966" s="470">
        <v>2028</v>
      </c>
      <c r="E966" s="567">
        <f t="shared" si="399"/>
        <v>0.1212</v>
      </c>
      <c r="F966" s="567">
        <v>0.1212</v>
      </c>
      <c r="G966" s="567">
        <v>0</v>
      </c>
      <c r="H966" s="567">
        <v>0</v>
      </c>
      <c r="I966" s="567">
        <v>0</v>
      </c>
      <c r="J966" s="567">
        <v>0</v>
      </c>
      <c r="K966" s="52">
        <f t="shared" si="400"/>
        <v>0.1212</v>
      </c>
      <c r="L966" s="94"/>
      <c r="M966" s="50"/>
      <c r="N966" s="95"/>
      <c r="O966" s="747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  <c r="BC966" s="65"/>
      <c r="BD966" s="65"/>
      <c r="BE966" s="66"/>
    </row>
    <row r="967" spans="1:57" s="48" customFormat="1" ht="14.25" customHeight="1" x14ac:dyDescent="0.2">
      <c r="A967" s="717"/>
      <c r="B967" s="701"/>
      <c r="C967" s="740"/>
      <c r="D967" s="470">
        <v>2029</v>
      </c>
      <c r="E967" s="567">
        <f t="shared" si="399"/>
        <v>0.126</v>
      </c>
      <c r="F967" s="567">
        <v>0.126</v>
      </c>
      <c r="G967" s="567">
        <v>0</v>
      </c>
      <c r="H967" s="567">
        <v>0</v>
      </c>
      <c r="I967" s="567">
        <v>0</v>
      </c>
      <c r="J967" s="567">
        <v>0</v>
      </c>
      <c r="K967" s="52">
        <f t="shared" si="400"/>
        <v>0.126</v>
      </c>
      <c r="L967" s="94"/>
      <c r="M967" s="50"/>
      <c r="N967" s="95"/>
      <c r="O967" s="747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6"/>
    </row>
    <row r="968" spans="1:57" s="48" customFormat="1" ht="14.25" customHeight="1" x14ac:dyDescent="0.2">
      <c r="A968" s="734"/>
      <c r="B968" s="702"/>
      <c r="C968" s="741"/>
      <c r="D968" s="470">
        <v>2030</v>
      </c>
      <c r="E968" s="567">
        <f t="shared" si="399"/>
        <v>0.13100000000000001</v>
      </c>
      <c r="F968" s="567">
        <v>0.13100000000000001</v>
      </c>
      <c r="G968" s="567">
        <v>0</v>
      </c>
      <c r="H968" s="567">
        <v>0</v>
      </c>
      <c r="I968" s="567">
        <v>0</v>
      </c>
      <c r="J968" s="567">
        <v>0</v>
      </c>
      <c r="K968" s="52">
        <f t="shared" si="400"/>
        <v>0.13100000000000001</v>
      </c>
      <c r="L968" s="94"/>
      <c r="M968" s="50"/>
      <c r="N968" s="95"/>
      <c r="O968" s="748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6"/>
    </row>
    <row r="969" spans="1:57" s="48" customFormat="1" ht="14.25" customHeight="1" x14ac:dyDescent="0.2">
      <c r="A969" s="732" t="s">
        <v>702</v>
      </c>
      <c r="B969" s="649" t="s">
        <v>614</v>
      </c>
      <c r="C969" s="517"/>
      <c r="D969" s="46" t="s">
        <v>198</v>
      </c>
      <c r="E969" s="47">
        <f>E982</f>
        <v>0</v>
      </c>
      <c r="F969" s="47">
        <f t="shared" ref="F969:J969" si="401">F982</f>
        <v>0</v>
      </c>
      <c r="G969" s="47">
        <f t="shared" si="401"/>
        <v>0</v>
      </c>
      <c r="H969" s="47">
        <f t="shared" si="401"/>
        <v>0</v>
      </c>
      <c r="I969" s="47">
        <f t="shared" si="401"/>
        <v>0</v>
      </c>
      <c r="J969" s="47">
        <f t="shared" si="401"/>
        <v>0</v>
      </c>
      <c r="K969" s="52">
        <f t="shared" si="400"/>
        <v>0</v>
      </c>
      <c r="L969" s="94"/>
      <c r="M969" s="50"/>
      <c r="N969" s="95"/>
      <c r="O969" s="542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6"/>
    </row>
    <row r="970" spans="1:57" s="48" customFormat="1" ht="14.25" customHeight="1" x14ac:dyDescent="0.2">
      <c r="A970" s="717"/>
      <c r="B970" s="701"/>
      <c r="C970" s="517"/>
      <c r="D970" s="46">
        <v>2019</v>
      </c>
      <c r="E970" s="47">
        <f t="shared" ref="E970:J981" si="402">E983</f>
        <v>0</v>
      </c>
      <c r="F970" s="47">
        <f t="shared" si="402"/>
        <v>0</v>
      </c>
      <c r="G970" s="47">
        <f t="shared" si="402"/>
        <v>0</v>
      </c>
      <c r="H970" s="47">
        <f t="shared" si="402"/>
        <v>0</v>
      </c>
      <c r="I970" s="47">
        <f t="shared" si="402"/>
        <v>0</v>
      </c>
      <c r="J970" s="47">
        <f t="shared" si="402"/>
        <v>0</v>
      </c>
      <c r="K970" s="52">
        <f t="shared" si="400"/>
        <v>0</v>
      </c>
      <c r="L970" s="94"/>
      <c r="M970" s="50"/>
      <c r="N970" s="95"/>
      <c r="O970" s="542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6"/>
    </row>
    <row r="971" spans="1:57" s="48" customFormat="1" ht="14.25" customHeight="1" x14ac:dyDescent="0.2">
      <c r="A971" s="717"/>
      <c r="B971" s="701"/>
      <c r="C971" s="517"/>
      <c r="D971" s="46">
        <v>2020</v>
      </c>
      <c r="E971" s="47">
        <f t="shared" si="402"/>
        <v>0</v>
      </c>
      <c r="F971" s="47">
        <f t="shared" si="402"/>
        <v>0</v>
      </c>
      <c r="G971" s="47">
        <f t="shared" si="402"/>
        <v>0</v>
      </c>
      <c r="H971" s="47">
        <f t="shared" si="402"/>
        <v>0</v>
      </c>
      <c r="I971" s="47">
        <f t="shared" si="402"/>
        <v>0</v>
      </c>
      <c r="J971" s="47">
        <f t="shared" si="402"/>
        <v>0</v>
      </c>
      <c r="K971" s="52">
        <f t="shared" si="400"/>
        <v>0</v>
      </c>
      <c r="L971" s="94"/>
      <c r="M971" s="50"/>
      <c r="N971" s="95"/>
      <c r="O971" s="542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6"/>
    </row>
    <row r="972" spans="1:57" s="48" customFormat="1" ht="14.25" customHeight="1" x14ac:dyDescent="0.2">
      <c r="A972" s="717"/>
      <c r="B972" s="701"/>
      <c r="C972" s="517"/>
      <c r="D972" s="46">
        <v>2021</v>
      </c>
      <c r="E972" s="47">
        <f t="shared" si="402"/>
        <v>0</v>
      </c>
      <c r="F972" s="47">
        <f t="shared" si="402"/>
        <v>0</v>
      </c>
      <c r="G972" s="47">
        <f t="shared" si="402"/>
        <v>0</v>
      </c>
      <c r="H972" s="47">
        <f t="shared" si="402"/>
        <v>0</v>
      </c>
      <c r="I972" s="47">
        <f t="shared" si="402"/>
        <v>0</v>
      </c>
      <c r="J972" s="47">
        <f t="shared" si="402"/>
        <v>0</v>
      </c>
      <c r="K972" s="52">
        <f t="shared" si="400"/>
        <v>0</v>
      </c>
      <c r="L972" s="94"/>
      <c r="M972" s="50"/>
      <c r="N972" s="95"/>
      <c r="O972" s="542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/>
      <c r="BB972" s="65"/>
      <c r="BC972" s="65"/>
      <c r="BD972" s="65"/>
      <c r="BE972" s="66"/>
    </row>
    <row r="973" spans="1:57" s="48" customFormat="1" ht="14.25" customHeight="1" x14ac:dyDescent="0.2">
      <c r="A973" s="717"/>
      <c r="B973" s="701"/>
      <c r="C973" s="517"/>
      <c r="D973" s="46">
        <v>2022</v>
      </c>
      <c r="E973" s="47">
        <f t="shared" si="402"/>
        <v>0</v>
      </c>
      <c r="F973" s="47">
        <f t="shared" si="402"/>
        <v>0</v>
      </c>
      <c r="G973" s="47">
        <f t="shared" si="402"/>
        <v>0</v>
      </c>
      <c r="H973" s="47">
        <f t="shared" si="402"/>
        <v>0</v>
      </c>
      <c r="I973" s="47">
        <f t="shared" si="402"/>
        <v>0</v>
      </c>
      <c r="J973" s="47">
        <f t="shared" si="402"/>
        <v>0</v>
      </c>
      <c r="K973" s="52">
        <f t="shared" si="400"/>
        <v>0</v>
      </c>
      <c r="L973" s="94"/>
      <c r="M973" s="50"/>
      <c r="N973" s="95"/>
      <c r="O973" s="542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6"/>
    </row>
    <row r="974" spans="1:57" s="48" customFormat="1" ht="14.25" customHeight="1" x14ac:dyDescent="0.2">
      <c r="A974" s="717"/>
      <c r="B974" s="701"/>
      <c r="C974" s="517"/>
      <c r="D974" s="46">
        <v>2023</v>
      </c>
      <c r="E974" s="47">
        <f t="shared" si="402"/>
        <v>0</v>
      </c>
      <c r="F974" s="47">
        <f t="shared" si="402"/>
        <v>0</v>
      </c>
      <c r="G974" s="47">
        <f t="shared" si="402"/>
        <v>0</v>
      </c>
      <c r="H974" s="47">
        <f t="shared" si="402"/>
        <v>0</v>
      </c>
      <c r="I974" s="47">
        <f t="shared" si="402"/>
        <v>0</v>
      </c>
      <c r="J974" s="47">
        <f t="shared" si="402"/>
        <v>0</v>
      </c>
      <c r="K974" s="52">
        <f t="shared" si="400"/>
        <v>0</v>
      </c>
      <c r="L974" s="94"/>
      <c r="M974" s="50"/>
      <c r="N974" s="95"/>
      <c r="O974" s="542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6"/>
    </row>
    <row r="975" spans="1:57" s="48" customFormat="1" ht="14.25" customHeight="1" x14ac:dyDescent="0.2">
      <c r="A975" s="717"/>
      <c r="B975" s="701"/>
      <c r="C975" s="517"/>
      <c r="D975" s="46">
        <v>2024</v>
      </c>
      <c r="E975" s="47">
        <f t="shared" si="402"/>
        <v>0</v>
      </c>
      <c r="F975" s="47">
        <f t="shared" si="402"/>
        <v>0</v>
      </c>
      <c r="G975" s="47">
        <f t="shared" si="402"/>
        <v>0</v>
      </c>
      <c r="H975" s="47">
        <f t="shared" si="402"/>
        <v>0</v>
      </c>
      <c r="I975" s="47">
        <f t="shared" si="402"/>
        <v>0</v>
      </c>
      <c r="J975" s="47">
        <f t="shared" si="402"/>
        <v>0</v>
      </c>
      <c r="K975" s="52">
        <f t="shared" si="400"/>
        <v>0</v>
      </c>
      <c r="L975" s="94"/>
      <c r="M975" s="50"/>
      <c r="N975" s="95"/>
      <c r="O975" s="542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  <c r="AP975" s="65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/>
      <c r="BB975" s="65"/>
      <c r="BC975" s="65"/>
      <c r="BD975" s="65"/>
      <c r="BE975" s="66"/>
    </row>
    <row r="976" spans="1:57" s="48" customFormat="1" ht="14.25" customHeight="1" x14ac:dyDescent="0.2">
      <c r="A976" s="717"/>
      <c r="B976" s="701"/>
      <c r="C976" s="517"/>
      <c r="D976" s="46">
        <v>2025</v>
      </c>
      <c r="E976" s="47">
        <f t="shared" si="402"/>
        <v>0</v>
      </c>
      <c r="F976" s="47">
        <f t="shared" si="402"/>
        <v>0</v>
      </c>
      <c r="G976" s="47">
        <f t="shared" si="402"/>
        <v>0</v>
      </c>
      <c r="H976" s="47">
        <f t="shared" si="402"/>
        <v>0</v>
      </c>
      <c r="I976" s="47">
        <f t="shared" si="402"/>
        <v>0</v>
      </c>
      <c r="J976" s="47">
        <f t="shared" si="402"/>
        <v>0</v>
      </c>
      <c r="K976" s="52">
        <f t="shared" si="400"/>
        <v>0</v>
      </c>
      <c r="L976" s="94"/>
      <c r="M976" s="50"/>
      <c r="N976" s="95"/>
      <c r="O976" s="542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6"/>
    </row>
    <row r="977" spans="1:57" s="48" customFormat="1" ht="14.25" customHeight="1" x14ac:dyDescent="0.2">
      <c r="A977" s="717"/>
      <c r="B977" s="701"/>
      <c r="C977" s="517"/>
      <c r="D977" s="46">
        <v>2026</v>
      </c>
      <c r="E977" s="47">
        <f t="shared" si="402"/>
        <v>0</v>
      </c>
      <c r="F977" s="47">
        <f t="shared" si="402"/>
        <v>0</v>
      </c>
      <c r="G977" s="47">
        <f t="shared" si="402"/>
        <v>0</v>
      </c>
      <c r="H977" s="47">
        <f t="shared" si="402"/>
        <v>0</v>
      </c>
      <c r="I977" s="47">
        <f t="shared" si="402"/>
        <v>0</v>
      </c>
      <c r="J977" s="47">
        <f t="shared" si="402"/>
        <v>0</v>
      </c>
      <c r="K977" s="52">
        <f t="shared" si="400"/>
        <v>0</v>
      </c>
      <c r="L977" s="94"/>
      <c r="M977" s="50"/>
      <c r="N977" s="95"/>
      <c r="O977" s="542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6"/>
    </row>
    <row r="978" spans="1:57" s="48" customFormat="1" ht="14.25" customHeight="1" x14ac:dyDescent="0.2">
      <c r="A978" s="717"/>
      <c r="B978" s="701"/>
      <c r="C978" s="517"/>
      <c r="D978" s="46">
        <v>2027</v>
      </c>
      <c r="E978" s="47">
        <f t="shared" si="402"/>
        <v>0</v>
      </c>
      <c r="F978" s="47">
        <f t="shared" si="402"/>
        <v>0</v>
      </c>
      <c r="G978" s="47">
        <f t="shared" si="402"/>
        <v>0</v>
      </c>
      <c r="H978" s="47">
        <f t="shared" si="402"/>
        <v>0</v>
      </c>
      <c r="I978" s="47">
        <f t="shared" si="402"/>
        <v>0</v>
      </c>
      <c r="J978" s="47">
        <f t="shared" si="402"/>
        <v>0</v>
      </c>
      <c r="K978" s="52">
        <f t="shared" si="400"/>
        <v>0</v>
      </c>
      <c r="L978" s="94"/>
      <c r="M978" s="50"/>
      <c r="N978" s="95"/>
      <c r="O978" s="542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/>
      <c r="BB978" s="65"/>
      <c r="BC978" s="65"/>
      <c r="BD978" s="65"/>
      <c r="BE978" s="66"/>
    </row>
    <row r="979" spans="1:57" s="48" customFormat="1" ht="14.25" customHeight="1" x14ac:dyDescent="0.2">
      <c r="A979" s="717"/>
      <c r="B979" s="701"/>
      <c r="C979" s="517"/>
      <c r="D979" s="46">
        <v>2028</v>
      </c>
      <c r="E979" s="47">
        <f t="shared" si="402"/>
        <v>0</v>
      </c>
      <c r="F979" s="47">
        <f t="shared" si="402"/>
        <v>0</v>
      </c>
      <c r="G979" s="47">
        <f t="shared" si="402"/>
        <v>0</v>
      </c>
      <c r="H979" s="47">
        <f t="shared" si="402"/>
        <v>0</v>
      </c>
      <c r="I979" s="47">
        <f t="shared" si="402"/>
        <v>0</v>
      </c>
      <c r="J979" s="47">
        <f t="shared" si="402"/>
        <v>0</v>
      </c>
      <c r="K979" s="52">
        <f t="shared" si="400"/>
        <v>0</v>
      </c>
      <c r="L979" s="94"/>
      <c r="M979" s="50"/>
      <c r="N979" s="95"/>
      <c r="O979" s="542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6"/>
    </row>
    <row r="980" spans="1:57" s="48" customFormat="1" ht="14.25" customHeight="1" x14ac:dyDescent="0.2">
      <c r="A980" s="717"/>
      <c r="B980" s="701"/>
      <c r="C980" s="517"/>
      <c r="D980" s="46">
        <v>2029</v>
      </c>
      <c r="E980" s="47">
        <f t="shared" si="402"/>
        <v>0</v>
      </c>
      <c r="F980" s="47">
        <f t="shared" si="402"/>
        <v>0</v>
      </c>
      <c r="G980" s="47">
        <f t="shared" si="402"/>
        <v>0</v>
      </c>
      <c r="H980" s="47">
        <f t="shared" si="402"/>
        <v>0</v>
      </c>
      <c r="I980" s="47">
        <f t="shared" si="402"/>
        <v>0</v>
      </c>
      <c r="J980" s="47">
        <f t="shared" si="402"/>
        <v>0</v>
      </c>
      <c r="K980" s="52">
        <f t="shared" si="400"/>
        <v>0</v>
      </c>
      <c r="L980" s="94"/>
      <c r="M980" s="50"/>
      <c r="N980" s="95"/>
      <c r="O980" s="542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  <c r="BC980" s="65"/>
      <c r="BD980" s="65"/>
      <c r="BE980" s="66"/>
    </row>
    <row r="981" spans="1:57" s="48" customFormat="1" ht="14.25" customHeight="1" x14ac:dyDescent="0.2">
      <c r="A981" s="734"/>
      <c r="B981" s="702"/>
      <c r="C981" s="518"/>
      <c r="D981" s="46">
        <v>2030</v>
      </c>
      <c r="E981" s="47">
        <f t="shared" si="402"/>
        <v>0</v>
      </c>
      <c r="F981" s="47">
        <f t="shared" si="402"/>
        <v>0</v>
      </c>
      <c r="G981" s="47">
        <f t="shared" si="402"/>
        <v>0</v>
      </c>
      <c r="H981" s="47">
        <f t="shared" si="402"/>
        <v>0</v>
      </c>
      <c r="I981" s="47">
        <f t="shared" si="402"/>
        <v>0</v>
      </c>
      <c r="J981" s="47">
        <f t="shared" si="402"/>
        <v>0</v>
      </c>
      <c r="K981" s="52">
        <f t="shared" si="400"/>
        <v>0</v>
      </c>
      <c r="L981" s="94"/>
      <c r="M981" s="50"/>
      <c r="N981" s="95"/>
      <c r="O981" s="542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  <c r="AP981" s="65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/>
      <c r="BB981" s="65"/>
      <c r="BC981" s="65"/>
      <c r="BD981" s="65"/>
      <c r="BE981" s="66"/>
    </row>
    <row r="982" spans="1:57" s="48" customFormat="1" ht="14.25" customHeight="1" x14ac:dyDescent="0.2">
      <c r="A982" s="662" t="s">
        <v>703</v>
      </c>
      <c r="B982" s="631" t="s">
        <v>835</v>
      </c>
      <c r="C982" s="739"/>
      <c r="D982" s="46" t="s">
        <v>198</v>
      </c>
      <c r="E982" s="47">
        <f>E983+E984+E985+E986+E987+E988+E989+E990+E991+E992+E993+E994</f>
        <v>0</v>
      </c>
      <c r="F982" s="47">
        <f t="shared" ref="F982:J982" si="403">F983+F984+F985+F986+F987+F988+F989+F990+F991+F992+F993+F994</f>
        <v>0</v>
      </c>
      <c r="G982" s="47">
        <f t="shared" si="403"/>
        <v>0</v>
      </c>
      <c r="H982" s="47">
        <f t="shared" si="403"/>
        <v>0</v>
      </c>
      <c r="I982" s="47">
        <f t="shared" si="403"/>
        <v>0</v>
      </c>
      <c r="J982" s="47">
        <f t="shared" si="403"/>
        <v>0</v>
      </c>
      <c r="K982" s="52">
        <f t="shared" si="400"/>
        <v>0</v>
      </c>
      <c r="L982" s="94"/>
      <c r="M982" s="50"/>
      <c r="N982" s="95"/>
      <c r="O982" s="746" t="s">
        <v>739</v>
      </c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  <c r="AP982" s="65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/>
      <c r="BB982" s="65"/>
      <c r="BC982" s="65"/>
      <c r="BD982" s="65"/>
      <c r="BE982" s="66"/>
    </row>
    <row r="983" spans="1:57" s="48" customFormat="1" ht="14.25" customHeight="1" x14ac:dyDescent="0.2">
      <c r="A983" s="717"/>
      <c r="B983" s="648"/>
      <c r="C983" s="701"/>
      <c r="D983" s="470">
        <v>2019</v>
      </c>
      <c r="E983" s="567">
        <v>0</v>
      </c>
      <c r="F983" s="567">
        <v>0</v>
      </c>
      <c r="G983" s="567">
        <v>0</v>
      </c>
      <c r="H983" s="567">
        <v>0</v>
      </c>
      <c r="I983" s="567">
        <v>0</v>
      </c>
      <c r="J983" s="567">
        <v>0</v>
      </c>
      <c r="K983" s="52">
        <f t="shared" si="400"/>
        <v>0</v>
      </c>
      <c r="L983" s="94"/>
      <c r="M983" s="50"/>
      <c r="N983" s="95"/>
      <c r="O983" s="701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  <c r="BC983" s="65"/>
      <c r="BD983" s="65"/>
      <c r="BE983" s="66"/>
    </row>
    <row r="984" spans="1:57" s="48" customFormat="1" ht="14.25" customHeight="1" x14ac:dyDescent="0.2">
      <c r="A984" s="717"/>
      <c r="B984" s="648"/>
      <c r="C984" s="701"/>
      <c r="D984" s="470">
        <v>2020</v>
      </c>
      <c r="E984" s="567">
        <v>0</v>
      </c>
      <c r="F984" s="567">
        <v>0</v>
      </c>
      <c r="G984" s="567">
        <v>0</v>
      </c>
      <c r="H984" s="567">
        <v>0</v>
      </c>
      <c r="I984" s="567">
        <v>0</v>
      </c>
      <c r="J984" s="567">
        <v>0</v>
      </c>
      <c r="K984" s="52">
        <f t="shared" si="400"/>
        <v>0</v>
      </c>
      <c r="L984" s="94"/>
      <c r="M984" s="50"/>
      <c r="N984" s="95"/>
      <c r="O984" s="701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  <c r="BC984" s="65"/>
      <c r="BD984" s="65"/>
      <c r="BE984" s="66"/>
    </row>
    <row r="985" spans="1:57" s="48" customFormat="1" ht="14.25" customHeight="1" x14ac:dyDescent="0.2">
      <c r="A985" s="717"/>
      <c r="B985" s="648"/>
      <c r="C985" s="701"/>
      <c r="D985" s="470">
        <v>2021</v>
      </c>
      <c r="E985" s="567">
        <v>0</v>
      </c>
      <c r="F985" s="567">
        <v>0</v>
      </c>
      <c r="G985" s="567">
        <v>0</v>
      </c>
      <c r="H985" s="567">
        <v>0</v>
      </c>
      <c r="I985" s="567">
        <v>0</v>
      </c>
      <c r="J985" s="567">
        <v>0</v>
      </c>
      <c r="K985" s="52">
        <f t="shared" si="400"/>
        <v>0</v>
      </c>
      <c r="L985" s="94"/>
      <c r="M985" s="50"/>
      <c r="N985" s="95"/>
      <c r="O985" s="701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/>
      <c r="BB985" s="65"/>
      <c r="BC985" s="65"/>
      <c r="BD985" s="65"/>
      <c r="BE985" s="66"/>
    </row>
    <row r="986" spans="1:57" s="48" customFormat="1" ht="14.25" customHeight="1" x14ac:dyDescent="0.2">
      <c r="A986" s="717"/>
      <c r="B986" s="648"/>
      <c r="C986" s="701"/>
      <c r="D986" s="470">
        <v>2022</v>
      </c>
      <c r="E986" s="567">
        <v>0</v>
      </c>
      <c r="F986" s="567">
        <v>0</v>
      </c>
      <c r="G986" s="567">
        <v>0</v>
      </c>
      <c r="H986" s="567">
        <v>0</v>
      </c>
      <c r="I986" s="567">
        <v>0</v>
      </c>
      <c r="J986" s="567">
        <v>0</v>
      </c>
      <c r="K986" s="52">
        <f t="shared" si="400"/>
        <v>0</v>
      </c>
      <c r="L986" s="94"/>
      <c r="M986" s="50"/>
      <c r="N986" s="95"/>
      <c r="O986" s="701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6"/>
    </row>
    <row r="987" spans="1:57" s="48" customFormat="1" ht="14.25" customHeight="1" x14ac:dyDescent="0.2">
      <c r="A987" s="717"/>
      <c r="B987" s="648"/>
      <c r="C987" s="701"/>
      <c r="D987" s="470">
        <v>2023</v>
      </c>
      <c r="E987" s="567">
        <v>0</v>
      </c>
      <c r="F987" s="567">
        <v>0</v>
      </c>
      <c r="G987" s="567">
        <v>0</v>
      </c>
      <c r="H987" s="567">
        <v>0</v>
      </c>
      <c r="I987" s="567">
        <v>0</v>
      </c>
      <c r="J987" s="567">
        <v>0</v>
      </c>
      <c r="K987" s="52">
        <f t="shared" si="400"/>
        <v>0</v>
      </c>
      <c r="L987" s="94"/>
      <c r="M987" s="50"/>
      <c r="N987" s="95"/>
      <c r="O987" s="701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/>
      <c r="BB987" s="65"/>
      <c r="BC987" s="65"/>
      <c r="BD987" s="65"/>
      <c r="BE987" s="66"/>
    </row>
    <row r="988" spans="1:57" s="48" customFormat="1" ht="14.25" customHeight="1" x14ac:dyDescent="0.2">
      <c r="A988" s="717"/>
      <c r="B988" s="648"/>
      <c r="C988" s="701"/>
      <c r="D988" s="470">
        <v>2024</v>
      </c>
      <c r="E988" s="567">
        <v>0</v>
      </c>
      <c r="F988" s="567">
        <v>0</v>
      </c>
      <c r="G988" s="567">
        <v>0</v>
      </c>
      <c r="H988" s="567">
        <v>0</v>
      </c>
      <c r="I988" s="567">
        <v>0</v>
      </c>
      <c r="J988" s="567">
        <v>0</v>
      </c>
      <c r="K988" s="52">
        <f t="shared" si="400"/>
        <v>0</v>
      </c>
      <c r="L988" s="94"/>
      <c r="M988" s="50"/>
      <c r="N988" s="95"/>
      <c r="O988" s="701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/>
      <c r="BB988" s="65"/>
      <c r="BC988" s="65"/>
      <c r="BD988" s="65"/>
      <c r="BE988" s="66"/>
    </row>
    <row r="989" spans="1:57" s="48" customFormat="1" ht="14.25" customHeight="1" x14ac:dyDescent="0.2">
      <c r="A989" s="717"/>
      <c r="B989" s="648"/>
      <c r="C989" s="701"/>
      <c r="D989" s="470">
        <v>2025</v>
      </c>
      <c r="E989" s="567">
        <v>0</v>
      </c>
      <c r="F989" s="567">
        <v>0</v>
      </c>
      <c r="G989" s="567">
        <v>0</v>
      </c>
      <c r="H989" s="567">
        <v>0</v>
      </c>
      <c r="I989" s="567">
        <v>0</v>
      </c>
      <c r="J989" s="567">
        <v>0</v>
      </c>
      <c r="K989" s="52">
        <f t="shared" si="400"/>
        <v>0</v>
      </c>
      <c r="L989" s="94"/>
      <c r="M989" s="50"/>
      <c r="N989" s="95"/>
      <c r="O989" s="701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/>
      <c r="BB989" s="65"/>
      <c r="BC989" s="65"/>
      <c r="BD989" s="65"/>
      <c r="BE989" s="66"/>
    </row>
    <row r="990" spans="1:57" s="48" customFormat="1" ht="14.25" customHeight="1" x14ac:dyDescent="0.2">
      <c r="A990" s="717"/>
      <c r="B990" s="648"/>
      <c r="C990" s="701"/>
      <c r="D990" s="470">
        <v>2026</v>
      </c>
      <c r="E990" s="567">
        <v>0</v>
      </c>
      <c r="F990" s="567">
        <v>0</v>
      </c>
      <c r="G990" s="567">
        <v>0</v>
      </c>
      <c r="H990" s="567">
        <v>0</v>
      </c>
      <c r="I990" s="567">
        <v>0</v>
      </c>
      <c r="J990" s="567">
        <v>0</v>
      </c>
      <c r="K990" s="52">
        <f t="shared" si="400"/>
        <v>0</v>
      </c>
      <c r="L990" s="94"/>
      <c r="M990" s="50"/>
      <c r="N990" s="95"/>
      <c r="O990" s="701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/>
      <c r="BB990" s="65"/>
      <c r="BC990" s="65"/>
      <c r="BD990" s="65"/>
      <c r="BE990" s="66"/>
    </row>
    <row r="991" spans="1:57" s="48" customFormat="1" ht="14.25" customHeight="1" x14ac:dyDescent="0.2">
      <c r="A991" s="717"/>
      <c r="B991" s="648"/>
      <c r="C991" s="701"/>
      <c r="D991" s="470">
        <v>2027</v>
      </c>
      <c r="E991" s="567">
        <v>0</v>
      </c>
      <c r="F991" s="567">
        <v>0</v>
      </c>
      <c r="G991" s="567">
        <v>0</v>
      </c>
      <c r="H991" s="567">
        <v>0</v>
      </c>
      <c r="I991" s="567">
        <v>0</v>
      </c>
      <c r="J991" s="567">
        <v>0</v>
      </c>
      <c r="K991" s="52">
        <f t="shared" si="400"/>
        <v>0</v>
      </c>
      <c r="L991" s="94"/>
      <c r="M991" s="50"/>
      <c r="N991" s="95"/>
      <c r="O991" s="701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/>
      <c r="BB991" s="65"/>
      <c r="BC991" s="65"/>
      <c r="BD991" s="65"/>
      <c r="BE991" s="66"/>
    </row>
    <row r="992" spans="1:57" s="48" customFormat="1" ht="14.25" customHeight="1" x14ac:dyDescent="0.2">
      <c r="A992" s="717"/>
      <c r="B992" s="648"/>
      <c r="C992" s="701"/>
      <c r="D992" s="470">
        <v>2028</v>
      </c>
      <c r="E992" s="567">
        <v>0</v>
      </c>
      <c r="F992" s="567">
        <v>0</v>
      </c>
      <c r="G992" s="567">
        <v>0</v>
      </c>
      <c r="H992" s="567">
        <v>0</v>
      </c>
      <c r="I992" s="567">
        <v>0</v>
      </c>
      <c r="J992" s="567">
        <v>0</v>
      </c>
      <c r="K992" s="52">
        <f t="shared" si="400"/>
        <v>0</v>
      </c>
      <c r="L992" s="94"/>
      <c r="M992" s="50"/>
      <c r="N992" s="95"/>
      <c r="O992" s="701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/>
      <c r="BB992" s="65"/>
      <c r="BC992" s="65"/>
      <c r="BD992" s="65"/>
      <c r="BE992" s="66"/>
    </row>
    <row r="993" spans="1:57" s="48" customFormat="1" ht="14.25" customHeight="1" x14ac:dyDescent="0.2">
      <c r="A993" s="717"/>
      <c r="B993" s="648"/>
      <c r="C993" s="701"/>
      <c r="D993" s="470">
        <v>2029</v>
      </c>
      <c r="E993" s="567">
        <v>0</v>
      </c>
      <c r="F993" s="567">
        <v>0</v>
      </c>
      <c r="G993" s="567">
        <v>0</v>
      </c>
      <c r="H993" s="567">
        <v>0</v>
      </c>
      <c r="I993" s="567">
        <v>0</v>
      </c>
      <c r="J993" s="567">
        <v>0</v>
      </c>
      <c r="K993" s="52">
        <f t="shared" si="400"/>
        <v>0</v>
      </c>
      <c r="L993" s="94"/>
      <c r="M993" s="50"/>
      <c r="N993" s="95"/>
      <c r="O993" s="701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6"/>
    </row>
    <row r="994" spans="1:57" s="48" customFormat="1" ht="14.25" customHeight="1" x14ac:dyDescent="0.2">
      <c r="A994" s="734"/>
      <c r="B994" s="632"/>
      <c r="C994" s="702"/>
      <c r="D994" s="470">
        <v>2030</v>
      </c>
      <c r="E994" s="567">
        <v>0</v>
      </c>
      <c r="F994" s="567">
        <v>0</v>
      </c>
      <c r="G994" s="567">
        <v>0</v>
      </c>
      <c r="H994" s="567">
        <v>0</v>
      </c>
      <c r="I994" s="567">
        <v>0</v>
      </c>
      <c r="J994" s="567">
        <v>0</v>
      </c>
      <c r="K994" s="52">
        <f t="shared" si="400"/>
        <v>0</v>
      </c>
      <c r="L994" s="94"/>
      <c r="M994" s="50"/>
      <c r="N994" s="95"/>
      <c r="O994" s="702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  <c r="AP994" s="65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/>
      <c r="BB994" s="65"/>
      <c r="BC994" s="65"/>
      <c r="BD994" s="65"/>
      <c r="BE994" s="66"/>
    </row>
    <row r="995" spans="1:57" s="48" customFormat="1" ht="14.25" customHeight="1" x14ac:dyDescent="0.2">
      <c r="A995" s="731" t="s">
        <v>704</v>
      </c>
      <c r="B995" s="649" t="s">
        <v>293</v>
      </c>
      <c r="C995" s="517"/>
      <c r="D995" s="46" t="s">
        <v>198</v>
      </c>
      <c r="E995" s="47">
        <f>E996+E997+E998+E999+E1000+E1001+E1002+E1003+E1004+E1005+E1006+E1007</f>
        <v>1989.0156000000002</v>
      </c>
      <c r="F995" s="47">
        <f t="shared" ref="F995:J995" si="404">F996+F997+F998+F999+F1000+F1001+F1002+F1003+F1004+F1005+F1006+F1007</f>
        <v>1884.7554000000002</v>
      </c>
      <c r="G995" s="47">
        <f t="shared" si="404"/>
        <v>0</v>
      </c>
      <c r="H995" s="47">
        <f t="shared" si="404"/>
        <v>0</v>
      </c>
      <c r="I995" s="47">
        <f t="shared" si="404"/>
        <v>0</v>
      </c>
      <c r="J995" s="47">
        <f t="shared" si="404"/>
        <v>104.26020000000001</v>
      </c>
      <c r="K995" s="52">
        <f t="shared" si="400"/>
        <v>1989.0156000000002</v>
      </c>
      <c r="L995" s="94"/>
      <c r="M995" s="50"/>
      <c r="N995" s="95"/>
      <c r="O995" s="542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  <c r="AP995" s="65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/>
      <c r="BB995" s="65"/>
      <c r="BC995" s="65"/>
      <c r="BD995" s="65"/>
      <c r="BE995" s="66"/>
    </row>
    <row r="996" spans="1:57" s="48" customFormat="1" ht="14.25" customHeight="1" x14ac:dyDescent="0.2">
      <c r="A996" s="732"/>
      <c r="B996" s="650"/>
      <c r="C996" s="517"/>
      <c r="D996" s="46">
        <v>2019</v>
      </c>
      <c r="E996" s="47">
        <f>E1009+E1034</f>
        <v>179.2253</v>
      </c>
      <c r="F996" s="47">
        <f>F1009+F1034</f>
        <v>169.74709999999999</v>
      </c>
      <c r="G996" s="47">
        <f t="shared" ref="G996:J996" si="405">G1009+G1034</f>
        <v>0</v>
      </c>
      <c r="H996" s="47">
        <f t="shared" si="405"/>
        <v>0</v>
      </c>
      <c r="I996" s="47">
        <f t="shared" si="405"/>
        <v>0</v>
      </c>
      <c r="J996" s="47">
        <f t="shared" si="405"/>
        <v>9.4781999999999993</v>
      </c>
      <c r="K996" s="52">
        <f t="shared" si="400"/>
        <v>179.22529999999998</v>
      </c>
      <c r="L996" s="94"/>
      <c r="M996" s="50"/>
      <c r="N996" s="95"/>
      <c r="O996" s="542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  <c r="AO996" s="65"/>
      <c r="AP996" s="65"/>
      <c r="AQ996" s="65"/>
      <c r="AR996" s="65"/>
      <c r="AS996" s="65"/>
      <c r="AT996" s="65"/>
      <c r="AU996" s="65"/>
      <c r="AV996" s="65"/>
      <c r="AW996" s="65"/>
      <c r="AX996" s="65"/>
      <c r="AY996" s="65"/>
      <c r="AZ996" s="65"/>
      <c r="BA996" s="65"/>
      <c r="BB996" s="65"/>
      <c r="BC996" s="65"/>
      <c r="BD996" s="65"/>
      <c r="BE996" s="66"/>
    </row>
    <row r="997" spans="1:57" s="48" customFormat="1" ht="14.25" customHeight="1" x14ac:dyDescent="0.2">
      <c r="A997" s="732"/>
      <c r="B997" s="650"/>
      <c r="C997" s="517"/>
      <c r="D997" s="46">
        <v>2020</v>
      </c>
      <c r="E997" s="47">
        <f>E1010+E1035+E1022</f>
        <v>177.33180000000002</v>
      </c>
      <c r="F997" s="47">
        <f>F1010+F1035+F1022</f>
        <v>167.8536</v>
      </c>
      <c r="G997" s="47">
        <f t="shared" ref="G997:J1007" si="406">G1010+G1035+G1022</f>
        <v>0</v>
      </c>
      <c r="H997" s="47">
        <f t="shared" si="406"/>
        <v>0</v>
      </c>
      <c r="I997" s="47">
        <f t="shared" si="406"/>
        <v>0</v>
      </c>
      <c r="J997" s="47">
        <f t="shared" si="406"/>
        <v>9.4782000000000011</v>
      </c>
      <c r="K997" s="52">
        <f t="shared" si="400"/>
        <v>177.33179999999999</v>
      </c>
      <c r="L997" s="94"/>
      <c r="M997" s="50"/>
      <c r="N997" s="95"/>
      <c r="O997" s="542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65"/>
      <c r="AZ997" s="65"/>
      <c r="BA997" s="65"/>
      <c r="BB997" s="65"/>
      <c r="BC997" s="65"/>
      <c r="BD997" s="65"/>
      <c r="BE997" s="66"/>
    </row>
    <row r="998" spans="1:57" s="48" customFormat="1" ht="14.25" customHeight="1" x14ac:dyDescent="0.2">
      <c r="A998" s="732"/>
      <c r="B998" s="650"/>
      <c r="C998" s="517"/>
      <c r="D998" s="46">
        <v>2021</v>
      </c>
      <c r="E998" s="47">
        <f>E1011+E1036+E1023</f>
        <v>159.95349999999999</v>
      </c>
      <c r="F998" s="47">
        <f>F1011+F1036+F1023</f>
        <v>150.4753</v>
      </c>
      <c r="G998" s="47">
        <f t="shared" ref="G998:I1007" si="407">G1011+G1036</f>
        <v>0</v>
      </c>
      <c r="H998" s="47">
        <f t="shared" si="407"/>
        <v>0</v>
      </c>
      <c r="I998" s="47">
        <f t="shared" si="407"/>
        <v>0</v>
      </c>
      <c r="J998" s="47">
        <f t="shared" si="406"/>
        <v>9.4782000000000011</v>
      </c>
      <c r="K998" s="52">
        <f t="shared" si="400"/>
        <v>159.95350000000002</v>
      </c>
      <c r="L998" s="94"/>
      <c r="M998" s="50"/>
      <c r="N998" s="95"/>
      <c r="O998" s="542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  <c r="AO998" s="65"/>
      <c r="AP998" s="65"/>
      <c r="AQ998" s="65"/>
      <c r="AR998" s="65"/>
      <c r="AS998" s="65"/>
      <c r="AT998" s="65"/>
      <c r="AU998" s="65"/>
      <c r="AV998" s="65"/>
      <c r="AW998" s="65"/>
      <c r="AX998" s="65"/>
      <c r="AY998" s="65"/>
      <c r="AZ998" s="65"/>
      <c r="BA998" s="65"/>
      <c r="BB998" s="65"/>
      <c r="BC998" s="65"/>
      <c r="BD998" s="65"/>
      <c r="BE998" s="66"/>
    </row>
    <row r="999" spans="1:57" s="48" customFormat="1" ht="14.25" customHeight="1" x14ac:dyDescent="0.2">
      <c r="A999" s="732"/>
      <c r="B999" s="650"/>
      <c r="C999" s="517"/>
      <c r="D999" s="46">
        <v>2022</v>
      </c>
      <c r="E999" s="47">
        <f>E1012+E1037+E1024</f>
        <v>153.92019999999999</v>
      </c>
      <c r="F999" s="47">
        <f t="shared" ref="E999:F1007" si="408">F1012+F1037+F1024</f>
        <v>153.92019999999999</v>
      </c>
      <c r="G999" s="47">
        <f t="shared" si="407"/>
        <v>0</v>
      </c>
      <c r="H999" s="47">
        <f t="shared" si="407"/>
        <v>0</v>
      </c>
      <c r="I999" s="47">
        <f t="shared" si="407"/>
        <v>0</v>
      </c>
      <c r="J999" s="47">
        <f t="shared" si="406"/>
        <v>0</v>
      </c>
      <c r="K999" s="52">
        <f t="shared" si="400"/>
        <v>153.92019999999999</v>
      </c>
      <c r="L999" s="94"/>
      <c r="M999" s="50"/>
      <c r="N999" s="95"/>
      <c r="O999" s="542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  <c r="AO999" s="65"/>
      <c r="AP999" s="65"/>
      <c r="AQ999" s="65"/>
      <c r="AR999" s="65"/>
      <c r="AS999" s="65"/>
      <c r="AT999" s="65"/>
      <c r="AU999" s="65"/>
      <c r="AV999" s="65"/>
      <c r="AW999" s="65"/>
      <c r="AX999" s="65"/>
      <c r="AY999" s="65"/>
      <c r="AZ999" s="65"/>
      <c r="BA999" s="65"/>
      <c r="BB999" s="65"/>
      <c r="BC999" s="65"/>
      <c r="BD999" s="65"/>
      <c r="BE999" s="66"/>
    </row>
    <row r="1000" spans="1:57" s="48" customFormat="1" ht="14.25" customHeight="1" x14ac:dyDescent="0.2">
      <c r="A1000" s="732"/>
      <c r="B1000" s="650"/>
      <c r="C1000" s="517"/>
      <c r="D1000" s="46">
        <v>2023</v>
      </c>
      <c r="E1000" s="47">
        <f t="shared" si="408"/>
        <v>164.82309999999998</v>
      </c>
      <c r="F1000" s="47">
        <f t="shared" si="408"/>
        <v>155.3449</v>
      </c>
      <c r="G1000" s="47">
        <f t="shared" si="407"/>
        <v>0</v>
      </c>
      <c r="H1000" s="47">
        <f t="shared" si="407"/>
        <v>0</v>
      </c>
      <c r="I1000" s="47">
        <f t="shared" si="407"/>
        <v>0</v>
      </c>
      <c r="J1000" s="47">
        <f t="shared" si="406"/>
        <v>9.4782000000000011</v>
      </c>
      <c r="K1000" s="52">
        <f t="shared" si="400"/>
        <v>164.82310000000001</v>
      </c>
      <c r="L1000" s="94"/>
      <c r="M1000" s="50"/>
      <c r="N1000" s="95"/>
      <c r="O1000" s="542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65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/>
      <c r="BB1000" s="65"/>
      <c r="BC1000" s="65"/>
      <c r="BD1000" s="65"/>
      <c r="BE1000" s="66"/>
    </row>
    <row r="1001" spans="1:57" s="48" customFormat="1" ht="14.25" customHeight="1" x14ac:dyDescent="0.2">
      <c r="A1001" s="732"/>
      <c r="B1001" s="650"/>
      <c r="C1001" s="517"/>
      <c r="D1001" s="46">
        <v>2024</v>
      </c>
      <c r="E1001" s="47">
        <f t="shared" si="408"/>
        <v>164.82309999999998</v>
      </c>
      <c r="F1001" s="47">
        <f t="shared" si="408"/>
        <v>155.3449</v>
      </c>
      <c r="G1001" s="47">
        <f t="shared" si="407"/>
        <v>0</v>
      </c>
      <c r="H1001" s="47">
        <f t="shared" si="407"/>
        <v>0</v>
      </c>
      <c r="I1001" s="47">
        <f t="shared" si="407"/>
        <v>0</v>
      </c>
      <c r="J1001" s="47">
        <f t="shared" si="406"/>
        <v>9.4782000000000011</v>
      </c>
      <c r="K1001" s="52">
        <f t="shared" si="400"/>
        <v>164.82310000000001</v>
      </c>
      <c r="L1001" s="94"/>
      <c r="M1001" s="50"/>
      <c r="N1001" s="95"/>
      <c r="O1001" s="542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  <c r="AH1001" s="65"/>
      <c r="AI1001" s="65"/>
      <c r="AJ1001" s="65"/>
      <c r="AK1001" s="65"/>
      <c r="AL1001" s="65"/>
      <c r="AM1001" s="65"/>
      <c r="AN1001" s="65"/>
      <c r="AO1001" s="65"/>
      <c r="AP1001" s="65"/>
      <c r="AQ1001" s="65"/>
      <c r="AR1001" s="65"/>
      <c r="AS1001" s="65"/>
      <c r="AT1001" s="65"/>
      <c r="AU1001" s="65"/>
      <c r="AV1001" s="65"/>
      <c r="AW1001" s="65"/>
      <c r="AX1001" s="65"/>
      <c r="AY1001" s="65"/>
      <c r="AZ1001" s="65"/>
      <c r="BA1001" s="65"/>
      <c r="BB1001" s="65"/>
      <c r="BC1001" s="65"/>
      <c r="BD1001" s="65"/>
      <c r="BE1001" s="66"/>
    </row>
    <row r="1002" spans="1:57" s="48" customFormat="1" ht="14.25" customHeight="1" x14ac:dyDescent="0.2">
      <c r="A1002" s="732"/>
      <c r="B1002" s="650"/>
      <c r="C1002" s="517"/>
      <c r="D1002" s="46">
        <v>2025</v>
      </c>
      <c r="E1002" s="47">
        <f t="shared" si="408"/>
        <v>164.82309999999998</v>
      </c>
      <c r="F1002" s="47">
        <f t="shared" si="408"/>
        <v>155.3449</v>
      </c>
      <c r="G1002" s="47">
        <f t="shared" si="407"/>
        <v>0</v>
      </c>
      <c r="H1002" s="47">
        <f t="shared" si="407"/>
        <v>0</v>
      </c>
      <c r="I1002" s="47">
        <f t="shared" si="407"/>
        <v>0</v>
      </c>
      <c r="J1002" s="47">
        <f t="shared" si="406"/>
        <v>9.4782000000000011</v>
      </c>
      <c r="K1002" s="52">
        <f t="shared" si="400"/>
        <v>164.82310000000001</v>
      </c>
      <c r="L1002" s="94"/>
      <c r="M1002" s="50"/>
      <c r="N1002" s="95"/>
      <c r="O1002" s="542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65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5"/>
      <c r="BA1002" s="65"/>
      <c r="BB1002" s="65"/>
      <c r="BC1002" s="65"/>
      <c r="BD1002" s="65"/>
      <c r="BE1002" s="66"/>
    </row>
    <row r="1003" spans="1:57" s="48" customFormat="1" ht="14.25" customHeight="1" x14ac:dyDescent="0.2">
      <c r="A1003" s="732"/>
      <c r="B1003" s="650"/>
      <c r="C1003" s="517"/>
      <c r="D1003" s="46">
        <v>2026</v>
      </c>
      <c r="E1003" s="47">
        <f t="shared" si="408"/>
        <v>164.82309999999998</v>
      </c>
      <c r="F1003" s="47">
        <f t="shared" si="408"/>
        <v>155.3449</v>
      </c>
      <c r="G1003" s="47">
        <f t="shared" si="407"/>
        <v>0</v>
      </c>
      <c r="H1003" s="47">
        <f t="shared" si="407"/>
        <v>0</v>
      </c>
      <c r="I1003" s="47">
        <f t="shared" si="407"/>
        <v>0</v>
      </c>
      <c r="J1003" s="47">
        <f t="shared" si="406"/>
        <v>9.4782000000000011</v>
      </c>
      <c r="K1003" s="52">
        <f t="shared" si="400"/>
        <v>164.82310000000001</v>
      </c>
      <c r="L1003" s="94"/>
      <c r="M1003" s="50"/>
      <c r="N1003" s="95"/>
      <c r="O1003" s="542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5"/>
      <c r="BA1003" s="65"/>
      <c r="BB1003" s="65"/>
      <c r="BC1003" s="65"/>
      <c r="BD1003" s="65"/>
      <c r="BE1003" s="66"/>
    </row>
    <row r="1004" spans="1:57" s="48" customFormat="1" ht="14.25" customHeight="1" x14ac:dyDescent="0.2">
      <c r="A1004" s="732"/>
      <c r="B1004" s="650"/>
      <c r="C1004" s="517"/>
      <c r="D1004" s="46">
        <v>2027</v>
      </c>
      <c r="E1004" s="47">
        <f t="shared" si="408"/>
        <v>164.82309999999998</v>
      </c>
      <c r="F1004" s="47">
        <f t="shared" si="408"/>
        <v>155.3449</v>
      </c>
      <c r="G1004" s="47">
        <f t="shared" si="407"/>
        <v>0</v>
      </c>
      <c r="H1004" s="47">
        <f t="shared" si="407"/>
        <v>0</v>
      </c>
      <c r="I1004" s="47">
        <f t="shared" si="407"/>
        <v>0</v>
      </c>
      <c r="J1004" s="47">
        <f t="shared" si="406"/>
        <v>9.4782000000000011</v>
      </c>
      <c r="K1004" s="52">
        <f t="shared" si="400"/>
        <v>164.82310000000001</v>
      </c>
      <c r="L1004" s="94"/>
      <c r="M1004" s="50"/>
      <c r="N1004" s="95"/>
      <c r="O1004" s="542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65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5"/>
      <c r="BA1004" s="65"/>
      <c r="BB1004" s="65"/>
      <c r="BC1004" s="65"/>
      <c r="BD1004" s="65"/>
      <c r="BE1004" s="66"/>
    </row>
    <row r="1005" spans="1:57" s="48" customFormat="1" ht="14.25" customHeight="1" x14ac:dyDescent="0.2">
      <c r="A1005" s="732"/>
      <c r="B1005" s="650"/>
      <c r="C1005" s="517"/>
      <c r="D1005" s="46">
        <v>2028</v>
      </c>
      <c r="E1005" s="47">
        <f t="shared" si="408"/>
        <v>164.82309999999998</v>
      </c>
      <c r="F1005" s="47">
        <f t="shared" si="408"/>
        <v>155.3449</v>
      </c>
      <c r="G1005" s="47">
        <f t="shared" si="407"/>
        <v>0</v>
      </c>
      <c r="H1005" s="47">
        <f t="shared" si="407"/>
        <v>0</v>
      </c>
      <c r="I1005" s="47">
        <f t="shared" si="407"/>
        <v>0</v>
      </c>
      <c r="J1005" s="47">
        <f t="shared" si="406"/>
        <v>9.4782000000000011</v>
      </c>
      <c r="K1005" s="52">
        <f t="shared" si="400"/>
        <v>164.82310000000001</v>
      </c>
      <c r="L1005" s="94"/>
      <c r="M1005" s="50"/>
      <c r="N1005" s="95"/>
      <c r="O1005" s="542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65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5"/>
      <c r="BA1005" s="65"/>
      <c r="BB1005" s="65"/>
      <c r="BC1005" s="65"/>
      <c r="BD1005" s="65"/>
      <c r="BE1005" s="66"/>
    </row>
    <row r="1006" spans="1:57" s="48" customFormat="1" ht="14.25" customHeight="1" x14ac:dyDescent="0.2">
      <c r="A1006" s="732"/>
      <c r="B1006" s="650"/>
      <c r="C1006" s="517"/>
      <c r="D1006" s="46">
        <v>2029</v>
      </c>
      <c r="E1006" s="47">
        <f t="shared" si="408"/>
        <v>164.82309999999998</v>
      </c>
      <c r="F1006" s="47">
        <f t="shared" si="408"/>
        <v>155.3449</v>
      </c>
      <c r="G1006" s="47">
        <f t="shared" si="407"/>
        <v>0</v>
      </c>
      <c r="H1006" s="47">
        <f t="shared" si="407"/>
        <v>0</v>
      </c>
      <c r="I1006" s="47">
        <f t="shared" si="407"/>
        <v>0</v>
      </c>
      <c r="J1006" s="47">
        <f t="shared" si="406"/>
        <v>9.4782000000000011</v>
      </c>
      <c r="K1006" s="52">
        <f t="shared" si="400"/>
        <v>164.82310000000001</v>
      </c>
      <c r="L1006" s="94"/>
      <c r="M1006" s="50"/>
      <c r="N1006" s="95"/>
      <c r="O1006" s="542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65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5"/>
      <c r="BA1006" s="65"/>
      <c r="BB1006" s="65"/>
      <c r="BC1006" s="65"/>
      <c r="BD1006" s="65"/>
      <c r="BE1006" s="66"/>
    </row>
    <row r="1007" spans="1:57" s="48" customFormat="1" ht="14.25" customHeight="1" x14ac:dyDescent="0.2">
      <c r="A1007" s="733"/>
      <c r="B1007" s="651"/>
      <c r="C1007" s="517"/>
      <c r="D1007" s="46">
        <v>2030</v>
      </c>
      <c r="E1007" s="47">
        <f t="shared" si="408"/>
        <v>164.82309999999998</v>
      </c>
      <c r="F1007" s="47">
        <f t="shared" si="408"/>
        <v>155.3449</v>
      </c>
      <c r="G1007" s="47">
        <f t="shared" si="407"/>
        <v>0</v>
      </c>
      <c r="H1007" s="47">
        <f t="shared" si="407"/>
        <v>0</v>
      </c>
      <c r="I1007" s="47">
        <f t="shared" si="407"/>
        <v>0</v>
      </c>
      <c r="J1007" s="47">
        <f t="shared" si="406"/>
        <v>9.4782000000000011</v>
      </c>
      <c r="K1007" s="52">
        <f t="shared" si="400"/>
        <v>164.82310000000001</v>
      </c>
      <c r="L1007" s="94"/>
      <c r="M1007" s="50"/>
      <c r="N1007" s="95"/>
      <c r="O1007" s="542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65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5"/>
      <c r="BA1007" s="65"/>
      <c r="BB1007" s="65"/>
      <c r="BC1007" s="65"/>
      <c r="BD1007" s="65"/>
      <c r="BE1007" s="66"/>
    </row>
    <row r="1008" spans="1:57" s="48" customFormat="1" ht="21.75" customHeight="1" x14ac:dyDescent="0.2">
      <c r="A1008" s="662" t="s">
        <v>705</v>
      </c>
      <c r="B1008" s="736" t="s">
        <v>743</v>
      </c>
      <c r="C1008" s="522"/>
      <c r="D1008" s="46" t="s">
        <v>198</v>
      </c>
      <c r="E1008" s="47">
        <f>E1009+E1010+E1011+E1012+E1013+E1014+E1015+E1016+E1017+E1018+E1019+E1020</f>
        <v>318.70899999999995</v>
      </c>
      <c r="F1008" s="47">
        <f>F1009+F1010+F1011+F1012+F1013+F1014+F1015+F1016+F1017+F1018+F1019+F1020</f>
        <v>226.90680000000003</v>
      </c>
      <c r="G1008" s="47">
        <f t="shared" ref="G1008:I1008" si="409">G1009+G1010+G1011+G1012+G1013+G1014+G1015+G1016+G1017+G1018+G1019+G1020</f>
        <v>0</v>
      </c>
      <c r="H1008" s="47">
        <f t="shared" si="409"/>
        <v>0</v>
      </c>
      <c r="I1008" s="47">
        <f t="shared" si="409"/>
        <v>0</v>
      </c>
      <c r="J1008" s="47">
        <f>J1009+J1010+J1011+J1012+J1013+J1014+J1015+J1016+J1017+J1018+J1019+J1020</f>
        <v>91.802199999999985</v>
      </c>
      <c r="K1008" s="52">
        <f t="shared" si="400"/>
        <v>318.709</v>
      </c>
      <c r="L1008" s="94"/>
      <c r="M1008" s="50"/>
      <c r="N1008" s="95"/>
      <c r="O1008" s="746" t="s">
        <v>747</v>
      </c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65"/>
      <c r="AQ1008" s="65"/>
      <c r="AR1008" s="65"/>
      <c r="AS1008" s="65"/>
      <c r="AT1008" s="65"/>
      <c r="AU1008" s="65"/>
      <c r="AV1008" s="65"/>
      <c r="AW1008" s="65"/>
      <c r="AX1008" s="65"/>
      <c r="AY1008" s="65"/>
      <c r="AZ1008" s="65"/>
      <c r="BA1008" s="65"/>
      <c r="BB1008" s="65"/>
      <c r="BC1008" s="65"/>
      <c r="BD1008" s="65"/>
      <c r="BE1008" s="66"/>
    </row>
    <row r="1009" spans="1:57" s="48" customFormat="1" x14ac:dyDescent="0.2">
      <c r="A1009" s="717"/>
      <c r="B1009" s="737"/>
      <c r="C1009" s="749" t="s">
        <v>744</v>
      </c>
      <c r="D1009" s="470">
        <v>2019</v>
      </c>
      <c r="E1009" s="567">
        <f>F1009+G1009+H1009+I1009+J1009</f>
        <v>36.131900000000002</v>
      </c>
      <c r="F1009" s="567">
        <v>26.653700000000001</v>
      </c>
      <c r="G1009" s="567">
        <v>0</v>
      </c>
      <c r="H1009" s="567">
        <v>0</v>
      </c>
      <c r="I1009" s="567">
        <v>0</v>
      </c>
      <c r="J1009" s="567">
        <v>9.4781999999999993</v>
      </c>
      <c r="K1009" s="52">
        <f t="shared" si="400"/>
        <v>36.131900000000002</v>
      </c>
      <c r="L1009" s="94"/>
      <c r="M1009" s="50"/>
      <c r="N1009" s="95"/>
      <c r="O1009" s="747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  <c r="AF1009" s="65"/>
      <c r="AG1009" s="65"/>
      <c r="AH1009" s="65"/>
      <c r="AI1009" s="65"/>
      <c r="AJ1009" s="65"/>
      <c r="AK1009" s="65"/>
      <c r="AL1009" s="65"/>
      <c r="AM1009" s="65"/>
      <c r="AN1009" s="65"/>
      <c r="AO1009" s="65"/>
      <c r="AP1009" s="65"/>
      <c r="AQ1009" s="65"/>
      <c r="AR1009" s="65"/>
      <c r="AS1009" s="65"/>
      <c r="AT1009" s="65"/>
      <c r="AU1009" s="65"/>
      <c r="AV1009" s="65"/>
      <c r="AW1009" s="65"/>
      <c r="AX1009" s="65"/>
      <c r="AY1009" s="65"/>
      <c r="AZ1009" s="65"/>
      <c r="BA1009" s="65"/>
      <c r="BB1009" s="65"/>
      <c r="BC1009" s="65"/>
      <c r="BD1009" s="65"/>
      <c r="BE1009" s="66"/>
    </row>
    <row r="1010" spans="1:57" s="48" customFormat="1" ht="14.25" customHeight="1" x14ac:dyDescent="0.2">
      <c r="A1010" s="717"/>
      <c r="B1010" s="737"/>
      <c r="C1010" s="749"/>
      <c r="D1010" s="470">
        <v>2020</v>
      </c>
      <c r="E1010" s="567">
        <f t="shared" ref="E1010:E1020" si="410">F1010+G1010+H1010+I1010+J1010</f>
        <v>28.799999999999997</v>
      </c>
      <c r="F1010" s="567">
        <v>20.567599999999999</v>
      </c>
      <c r="G1010" s="567">
        <v>0</v>
      </c>
      <c r="H1010" s="567">
        <v>0</v>
      </c>
      <c r="I1010" s="567">
        <v>0</v>
      </c>
      <c r="J1010" s="567">
        <v>8.2324000000000002</v>
      </c>
      <c r="K1010" s="52">
        <f t="shared" si="400"/>
        <v>28.799999999999997</v>
      </c>
      <c r="L1010" s="94"/>
      <c r="M1010" s="50"/>
      <c r="N1010" s="95"/>
      <c r="O1010" s="747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  <c r="AF1010" s="65"/>
      <c r="AG1010" s="65"/>
      <c r="AH1010" s="65"/>
      <c r="AI1010" s="65"/>
      <c r="AJ1010" s="65"/>
      <c r="AK1010" s="65"/>
      <c r="AL1010" s="65"/>
      <c r="AM1010" s="65"/>
      <c r="AN1010" s="65"/>
      <c r="AO1010" s="65"/>
      <c r="AP1010" s="65"/>
      <c r="AQ1010" s="65"/>
      <c r="AR1010" s="65"/>
      <c r="AS1010" s="65"/>
      <c r="AT1010" s="65"/>
      <c r="AU1010" s="65"/>
      <c r="AV1010" s="65"/>
      <c r="AW1010" s="65"/>
      <c r="AX1010" s="65"/>
      <c r="AY1010" s="65"/>
      <c r="AZ1010" s="65"/>
      <c r="BA1010" s="65"/>
      <c r="BB1010" s="65"/>
      <c r="BC1010" s="65"/>
      <c r="BD1010" s="65"/>
      <c r="BE1010" s="66"/>
    </row>
    <row r="1011" spans="1:57" s="48" customFormat="1" ht="14.25" customHeight="1" x14ac:dyDescent="0.2">
      <c r="A1011" s="717"/>
      <c r="B1011" s="737"/>
      <c r="C1011" s="749"/>
      <c r="D1011" s="470">
        <v>2021</v>
      </c>
      <c r="E1011" s="567">
        <f t="shared" si="410"/>
        <v>26.107799999999997</v>
      </c>
      <c r="F1011" s="567">
        <v>17.875399999999999</v>
      </c>
      <c r="G1011" s="567">
        <v>0</v>
      </c>
      <c r="H1011" s="567">
        <v>0</v>
      </c>
      <c r="I1011" s="567">
        <v>0</v>
      </c>
      <c r="J1011" s="567">
        <v>8.2324000000000002</v>
      </c>
      <c r="K1011" s="52">
        <f t="shared" si="400"/>
        <v>26.107799999999997</v>
      </c>
      <c r="L1011" s="94"/>
      <c r="M1011" s="50"/>
      <c r="N1011" s="95"/>
      <c r="O1011" s="747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  <c r="AF1011" s="65"/>
      <c r="AG1011" s="65"/>
      <c r="AH1011" s="65"/>
      <c r="AI1011" s="65"/>
      <c r="AJ1011" s="65"/>
      <c r="AK1011" s="65"/>
      <c r="AL1011" s="65"/>
      <c r="AM1011" s="65"/>
      <c r="AN1011" s="65"/>
      <c r="AO1011" s="65"/>
      <c r="AP1011" s="65"/>
      <c r="AQ1011" s="65"/>
      <c r="AR1011" s="65"/>
      <c r="AS1011" s="65"/>
      <c r="AT1011" s="65"/>
      <c r="AU1011" s="65"/>
      <c r="AV1011" s="65"/>
      <c r="AW1011" s="65"/>
      <c r="AX1011" s="65"/>
      <c r="AY1011" s="65"/>
      <c r="AZ1011" s="65"/>
      <c r="BA1011" s="65"/>
      <c r="BB1011" s="65"/>
      <c r="BC1011" s="65"/>
      <c r="BD1011" s="65"/>
      <c r="BE1011" s="66"/>
    </row>
    <row r="1012" spans="1:57" s="48" customFormat="1" ht="14.25" customHeight="1" x14ac:dyDescent="0.2">
      <c r="A1012" s="717"/>
      <c r="B1012" s="737"/>
      <c r="C1012" s="749"/>
      <c r="D1012" s="470">
        <v>2022</v>
      </c>
      <c r="E1012" s="567">
        <f t="shared" si="410"/>
        <v>17.978899999999999</v>
      </c>
      <c r="F1012" s="567">
        <v>17.978899999999999</v>
      </c>
      <c r="G1012" s="567">
        <v>0</v>
      </c>
      <c r="H1012" s="567">
        <v>0</v>
      </c>
      <c r="I1012" s="567">
        <v>0</v>
      </c>
      <c r="J1012" s="567">
        <v>0</v>
      </c>
      <c r="K1012" s="52">
        <f t="shared" si="400"/>
        <v>17.978899999999999</v>
      </c>
      <c r="L1012" s="94"/>
      <c r="M1012" s="50"/>
      <c r="N1012" s="95"/>
      <c r="O1012" s="747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  <c r="AH1012" s="65"/>
      <c r="AI1012" s="65"/>
      <c r="AJ1012" s="65"/>
      <c r="AK1012" s="65"/>
      <c r="AL1012" s="65"/>
      <c r="AM1012" s="65"/>
      <c r="AN1012" s="65"/>
      <c r="AO1012" s="65"/>
      <c r="AP1012" s="65"/>
      <c r="AQ1012" s="65"/>
      <c r="AR1012" s="65"/>
      <c r="AS1012" s="65"/>
      <c r="AT1012" s="65"/>
      <c r="AU1012" s="65"/>
      <c r="AV1012" s="65"/>
      <c r="AW1012" s="65"/>
      <c r="AX1012" s="65"/>
      <c r="AY1012" s="65"/>
      <c r="AZ1012" s="65"/>
      <c r="BA1012" s="65"/>
      <c r="BB1012" s="65"/>
      <c r="BC1012" s="65"/>
      <c r="BD1012" s="65"/>
      <c r="BE1012" s="66"/>
    </row>
    <row r="1013" spans="1:57" s="48" customFormat="1" ht="14.25" customHeight="1" x14ac:dyDescent="0.2">
      <c r="A1013" s="717"/>
      <c r="B1013" s="737"/>
      <c r="C1013" s="749"/>
      <c r="D1013" s="470">
        <v>2023</v>
      </c>
      <c r="E1013" s="567">
        <f t="shared" si="410"/>
        <v>26.211300000000001</v>
      </c>
      <c r="F1013" s="567">
        <v>17.978899999999999</v>
      </c>
      <c r="G1013" s="567">
        <v>0</v>
      </c>
      <c r="H1013" s="567">
        <v>0</v>
      </c>
      <c r="I1013" s="567">
        <v>0</v>
      </c>
      <c r="J1013" s="567">
        <v>8.2324000000000002</v>
      </c>
      <c r="K1013" s="52">
        <f t="shared" si="400"/>
        <v>26.211300000000001</v>
      </c>
      <c r="L1013" s="94"/>
      <c r="M1013" s="50"/>
      <c r="N1013" s="95"/>
      <c r="O1013" s="747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  <c r="AH1013" s="65"/>
      <c r="AI1013" s="65"/>
      <c r="AJ1013" s="65"/>
      <c r="AK1013" s="65"/>
      <c r="AL1013" s="65"/>
      <c r="AM1013" s="65"/>
      <c r="AN1013" s="65"/>
      <c r="AO1013" s="65"/>
      <c r="AP1013" s="65"/>
      <c r="AQ1013" s="65"/>
      <c r="AR1013" s="65"/>
      <c r="AS1013" s="65"/>
      <c r="AT1013" s="65"/>
      <c r="AU1013" s="65"/>
      <c r="AV1013" s="65"/>
      <c r="AW1013" s="65"/>
      <c r="AX1013" s="65"/>
      <c r="AY1013" s="65"/>
      <c r="AZ1013" s="65"/>
      <c r="BA1013" s="65"/>
      <c r="BB1013" s="65"/>
      <c r="BC1013" s="65"/>
      <c r="BD1013" s="65"/>
      <c r="BE1013" s="66"/>
    </row>
    <row r="1014" spans="1:57" s="48" customFormat="1" ht="14.25" customHeight="1" x14ac:dyDescent="0.2">
      <c r="A1014" s="717"/>
      <c r="B1014" s="737"/>
      <c r="C1014" s="749"/>
      <c r="D1014" s="470">
        <v>2024</v>
      </c>
      <c r="E1014" s="567">
        <f t="shared" si="410"/>
        <v>26.211300000000001</v>
      </c>
      <c r="F1014" s="567">
        <v>17.978899999999999</v>
      </c>
      <c r="G1014" s="567">
        <v>0</v>
      </c>
      <c r="H1014" s="567">
        <v>0</v>
      </c>
      <c r="I1014" s="567">
        <v>0</v>
      </c>
      <c r="J1014" s="567">
        <v>8.2324000000000002</v>
      </c>
      <c r="K1014" s="52">
        <f t="shared" si="400"/>
        <v>26.211300000000001</v>
      </c>
      <c r="L1014" s="94"/>
      <c r="M1014" s="50"/>
      <c r="N1014" s="95"/>
      <c r="O1014" s="747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65"/>
      <c r="AQ1014" s="65"/>
      <c r="AR1014" s="65"/>
      <c r="AS1014" s="65"/>
      <c r="AT1014" s="65"/>
      <c r="AU1014" s="65"/>
      <c r="AV1014" s="65"/>
      <c r="AW1014" s="65"/>
      <c r="AX1014" s="65"/>
      <c r="AY1014" s="65"/>
      <c r="AZ1014" s="65"/>
      <c r="BA1014" s="65"/>
      <c r="BB1014" s="65"/>
      <c r="BC1014" s="65"/>
      <c r="BD1014" s="65"/>
      <c r="BE1014" s="66"/>
    </row>
    <row r="1015" spans="1:57" s="48" customFormat="1" ht="14.25" customHeight="1" x14ac:dyDescent="0.2">
      <c r="A1015" s="717"/>
      <c r="B1015" s="737"/>
      <c r="C1015" s="749"/>
      <c r="D1015" s="470">
        <v>2025</v>
      </c>
      <c r="E1015" s="567">
        <f t="shared" si="410"/>
        <v>26.211300000000001</v>
      </c>
      <c r="F1015" s="567">
        <v>17.978899999999999</v>
      </c>
      <c r="G1015" s="567">
        <v>0</v>
      </c>
      <c r="H1015" s="567">
        <v>0</v>
      </c>
      <c r="I1015" s="567">
        <v>0</v>
      </c>
      <c r="J1015" s="567">
        <v>8.2324000000000002</v>
      </c>
      <c r="K1015" s="52">
        <f t="shared" si="400"/>
        <v>26.211300000000001</v>
      </c>
      <c r="L1015" s="94"/>
      <c r="M1015" s="50"/>
      <c r="N1015" s="95"/>
      <c r="O1015" s="747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65"/>
      <c r="AQ1015" s="65"/>
      <c r="AR1015" s="65"/>
      <c r="AS1015" s="65"/>
      <c r="AT1015" s="65"/>
      <c r="AU1015" s="65"/>
      <c r="AV1015" s="65"/>
      <c r="AW1015" s="65"/>
      <c r="AX1015" s="65"/>
      <c r="AY1015" s="65"/>
      <c r="AZ1015" s="65"/>
      <c r="BA1015" s="65"/>
      <c r="BB1015" s="65"/>
      <c r="BC1015" s="65"/>
      <c r="BD1015" s="65"/>
      <c r="BE1015" s="66"/>
    </row>
    <row r="1016" spans="1:57" s="48" customFormat="1" ht="14.25" customHeight="1" x14ac:dyDescent="0.2">
      <c r="A1016" s="717"/>
      <c r="B1016" s="737"/>
      <c r="C1016" s="749" t="s">
        <v>745</v>
      </c>
      <c r="D1016" s="470">
        <v>2026</v>
      </c>
      <c r="E1016" s="567">
        <f t="shared" si="410"/>
        <v>26.211300000000001</v>
      </c>
      <c r="F1016" s="567">
        <v>17.978899999999999</v>
      </c>
      <c r="G1016" s="567">
        <v>0</v>
      </c>
      <c r="H1016" s="567">
        <v>0</v>
      </c>
      <c r="I1016" s="567">
        <v>0</v>
      </c>
      <c r="J1016" s="567">
        <v>8.2324000000000002</v>
      </c>
      <c r="K1016" s="52">
        <f t="shared" si="400"/>
        <v>26.211300000000001</v>
      </c>
      <c r="L1016" s="94"/>
      <c r="M1016" s="50"/>
      <c r="N1016" s="95"/>
      <c r="O1016" s="747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/>
      <c r="BB1016" s="65"/>
      <c r="BC1016" s="65"/>
      <c r="BD1016" s="65"/>
      <c r="BE1016" s="66"/>
    </row>
    <row r="1017" spans="1:57" s="48" customFormat="1" ht="14.25" customHeight="1" x14ac:dyDescent="0.2">
      <c r="A1017" s="717"/>
      <c r="B1017" s="737"/>
      <c r="C1017" s="749"/>
      <c r="D1017" s="470">
        <v>2027</v>
      </c>
      <c r="E1017" s="567">
        <f t="shared" si="410"/>
        <v>26.211300000000001</v>
      </c>
      <c r="F1017" s="567">
        <v>17.978899999999999</v>
      </c>
      <c r="G1017" s="567">
        <v>0</v>
      </c>
      <c r="H1017" s="567">
        <v>0</v>
      </c>
      <c r="I1017" s="567">
        <v>0</v>
      </c>
      <c r="J1017" s="567">
        <v>8.2324000000000002</v>
      </c>
      <c r="K1017" s="52">
        <f t="shared" si="400"/>
        <v>26.211300000000001</v>
      </c>
      <c r="L1017" s="94"/>
      <c r="M1017" s="50"/>
      <c r="N1017" s="95"/>
      <c r="O1017" s="747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65"/>
      <c r="AQ1017" s="65"/>
      <c r="AR1017" s="65"/>
      <c r="AS1017" s="65"/>
      <c r="AT1017" s="65"/>
      <c r="AU1017" s="65"/>
      <c r="AV1017" s="65"/>
      <c r="AW1017" s="65"/>
      <c r="AX1017" s="65"/>
      <c r="AY1017" s="65"/>
      <c r="AZ1017" s="65"/>
      <c r="BA1017" s="65"/>
      <c r="BB1017" s="65"/>
      <c r="BC1017" s="65"/>
      <c r="BD1017" s="65"/>
      <c r="BE1017" s="66"/>
    </row>
    <row r="1018" spans="1:57" s="48" customFormat="1" ht="14.25" customHeight="1" x14ac:dyDescent="0.2">
      <c r="A1018" s="717"/>
      <c r="B1018" s="737"/>
      <c r="C1018" s="749"/>
      <c r="D1018" s="470">
        <v>2028</v>
      </c>
      <c r="E1018" s="567">
        <f t="shared" si="410"/>
        <v>26.211300000000001</v>
      </c>
      <c r="F1018" s="567">
        <v>17.978899999999999</v>
      </c>
      <c r="G1018" s="567">
        <v>0</v>
      </c>
      <c r="H1018" s="567">
        <v>0</v>
      </c>
      <c r="I1018" s="567">
        <v>0</v>
      </c>
      <c r="J1018" s="567">
        <v>8.2324000000000002</v>
      </c>
      <c r="K1018" s="52">
        <f t="shared" si="400"/>
        <v>26.211300000000001</v>
      </c>
      <c r="L1018" s="94"/>
      <c r="M1018" s="50"/>
      <c r="N1018" s="95"/>
      <c r="O1018" s="747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6"/>
    </row>
    <row r="1019" spans="1:57" s="48" customFormat="1" ht="14.25" customHeight="1" x14ac:dyDescent="0.2">
      <c r="A1019" s="717"/>
      <c r="B1019" s="737"/>
      <c r="C1019" s="749"/>
      <c r="D1019" s="470">
        <v>2029</v>
      </c>
      <c r="E1019" s="567">
        <f t="shared" si="410"/>
        <v>26.211300000000001</v>
      </c>
      <c r="F1019" s="567">
        <v>17.978899999999999</v>
      </c>
      <c r="G1019" s="567">
        <v>0</v>
      </c>
      <c r="H1019" s="567">
        <v>0</v>
      </c>
      <c r="I1019" s="567">
        <v>0</v>
      </c>
      <c r="J1019" s="567">
        <v>8.2324000000000002</v>
      </c>
      <c r="K1019" s="52">
        <f t="shared" si="400"/>
        <v>26.211300000000001</v>
      </c>
      <c r="L1019" s="94"/>
      <c r="M1019" s="50"/>
      <c r="N1019" s="95"/>
      <c r="O1019" s="747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65"/>
      <c r="AQ1019" s="65"/>
      <c r="AR1019" s="65"/>
      <c r="AS1019" s="65"/>
      <c r="AT1019" s="65"/>
      <c r="AU1019" s="65"/>
      <c r="AV1019" s="65"/>
      <c r="AW1019" s="65"/>
      <c r="AX1019" s="65"/>
      <c r="AY1019" s="65"/>
      <c r="AZ1019" s="65"/>
      <c r="BA1019" s="65"/>
      <c r="BB1019" s="65"/>
      <c r="BC1019" s="65"/>
      <c r="BD1019" s="65"/>
      <c r="BE1019" s="66"/>
    </row>
    <row r="1020" spans="1:57" s="48" customFormat="1" ht="14.25" customHeight="1" x14ac:dyDescent="0.2">
      <c r="A1020" s="734"/>
      <c r="B1020" s="738"/>
      <c r="C1020" s="749"/>
      <c r="D1020" s="470">
        <v>2030</v>
      </c>
      <c r="E1020" s="567">
        <f t="shared" si="410"/>
        <v>26.211300000000001</v>
      </c>
      <c r="F1020" s="567">
        <v>17.978899999999999</v>
      </c>
      <c r="G1020" s="567">
        <v>0</v>
      </c>
      <c r="H1020" s="567">
        <v>0</v>
      </c>
      <c r="I1020" s="567">
        <v>0</v>
      </c>
      <c r="J1020" s="567">
        <v>8.2324000000000002</v>
      </c>
      <c r="K1020" s="52">
        <f t="shared" si="400"/>
        <v>26.211300000000001</v>
      </c>
      <c r="L1020" s="94"/>
      <c r="M1020" s="50"/>
      <c r="N1020" s="95"/>
      <c r="O1020" s="748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/>
      <c r="BB1020" s="65"/>
      <c r="BC1020" s="65"/>
      <c r="BD1020" s="65"/>
      <c r="BE1020" s="66"/>
    </row>
    <row r="1021" spans="1:57" s="48" customFormat="1" ht="14.25" customHeight="1" x14ac:dyDescent="0.2">
      <c r="A1021" s="662" t="s">
        <v>938</v>
      </c>
      <c r="B1021" s="736" t="s">
        <v>937</v>
      </c>
      <c r="C1021" s="522"/>
      <c r="D1021" s="46" t="s">
        <v>198</v>
      </c>
      <c r="E1021" s="567">
        <f>E1022+E1023+E1024+E1025+E1026+E1027+E1028+E1029+E1030+E1031+E1032</f>
        <v>31.361200000000004</v>
      </c>
      <c r="F1021" s="567">
        <f>F1022+F1023+F1024+F1025+F1026+F1027+F1028+F1029+F1030+F1031+F1032</f>
        <v>18.903199999999998</v>
      </c>
      <c r="G1021" s="567">
        <f t="shared" ref="G1021:I1021" si="411">G1022+G1023+G1024+G1025+G1026+G1027+G1028+G1029+G1030+G1031+G1032</f>
        <v>0</v>
      </c>
      <c r="H1021" s="567">
        <f t="shared" si="411"/>
        <v>0</v>
      </c>
      <c r="I1021" s="567">
        <f t="shared" si="411"/>
        <v>0</v>
      </c>
      <c r="J1021" s="567">
        <f>J1022+J1023+J1024+J1025+J1026+J1027+J1028+J1029+J1030+J1031+J1032</f>
        <v>12.457999999999998</v>
      </c>
      <c r="K1021" s="52">
        <f t="shared" si="400"/>
        <v>31.361199999999997</v>
      </c>
      <c r="L1021" s="94"/>
      <c r="M1021" s="50"/>
      <c r="N1021" s="95"/>
      <c r="O1021" s="520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  <c r="AF1021" s="65"/>
      <c r="AG1021" s="65"/>
      <c r="AH1021" s="65"/>
      <c r="AI1021" s="65"/>
      <c r="AJ1021" s="65"/>
      <c r="AK1021" s="65"/>
      <c r="AL1021" s="65"/>
      <c r="AM1021" s="65"/>
      <c r="AN1021" s="65"/>
      <c r="AO1021" s="65"/>
      <c r="AP1021" s="65"/>
      <c r="AQ1021" s="65"/>
      <c r="AR1021" s="65"/>
      <c r="AS1021" s="65"/>
      <c r="AT1021" s="65"/>
      <c r="AU1021" s="65"/>
      <c r="AV1021" s="65"/>
      <c r="AW1021" s="65"/>
      <c r="AX1021" s="65"/>
      <c r="AY1021" s="65"/>
      <c r="AZ1021" s="65"/>
      <c r="BA1021" s="65"/>
      <c r="BB1021" s="65"/>
      <c r="BC1021" s="65"/>
      <c r="BD1021" s="65"/>
      <c r="BE1021" s="66"/>
    </row>
    <row r="1022" spans="1:57" s="48" customFormat="1" ht="14.25" customHeight="1" x14ac:dyDescent="0.2">
      <c r="A1022" s="717"/>
      <c r="B1022" s="737"/>
      <c r="C1022" s="739" t="s">
        <v>744</v>
      </c>
      <c r="D1022" s="470">
        <v>2020</v>
      </c>
      <c r="E1022" s="567">
        <f t="shared" ref="E1022:E1032" si="412">F1022+G1022+H1022+I1022+J1022</f>
        <v>3.2515000000000001</v>
      </c>
      <c r="F1022" s="567">
        <v>2.0057</v>
      </c>
      <c r="G1022" s="567">
        <v>0</v>
      </c>
      <c r="H1022" s="567">
        <v>0</v>
      </c>
      <c r="I1022" s="567">
        <v>0</v>
      </c>
      <c r="J1022" s="567">
        <v>1.2458</v>
      </c>
      <c r="K1022" s="52">
        <f t="shared" si="400"/>
        <v>3.2515000000000001</v>
      </c>
      <c r="L1022" s="94"/>
      <c r="M1022" s="50"/>
      <c r="N1022" s="95"/>
      <c r="O1022" s="520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5"/>
      <c r="AW1022" s="65"/>
      <c r="AX1022" s="65"/>
      <c r="AY1022" s="65"/>
      <c r="AZ1022" s="65"/>
      <c r="BA1022" s="65"/>
      <c r="BB1022" s="65"/>
      <c r="BC1022" s="65"/>
      <c r="BD1022" s="65"/>
      <c r="BE1022" s="66"/>
    </row>
    <row r="1023" spans="1:57" s="48" customFormat="1" ht="14.25" customHeight="1" x14ac:dyDescent="0.2">
      <c r="A1023" s="717"/>
      <c r="B1023" s="737"/>
      <c r="C1023" s="740"/>
      <c r="D1023" s="470">
        <v>2021</v>
      </c>
      <c r="E1023" s="567">
        <f t="shared" si="412"/>
        <v>2.9333</v>
      </c>
      <c r="F1023" s="567">
        <v>1.6875</v>
      </c>
      <c r="G1023" s="567">
        <v>0</v>
      </c>
      <c r="H1023" s="567">
        <v>0</v>
      </c>
      <c r="I1023" s="567">
        <v>0</v>
      </c>
      <c r="J1023" s="567">
        <v>1.2458</v>
      </c>
      <c r="K1023" s="52">
        <f t="shared" si="400"/>
        <v>2.9333</v>
      </c>
      <c r="L1023" s="94"/>
      <c r="M1023" s="50"/>
      <c r="N1023" s="95"/>
      <c r="O1023" s="520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5"/>
      <c r="AW1023" s="65"/>
      <c r="AX1023" s="65"/>
      <c r="AY1023" s="65"/>
      <c r="AZ1023" s="65"/>
      <c r="BA1023" s="65"/>
      <c r="BB1023" s="65"/>
      <c r="BC1023" s="65"/>
      <c r="BD1023" s="65"/>
      <c r="BE1023" s="66"/>
    </row>
    <row r="1024" spans="1:57" s="48" customFormat="1" ht="14.25" customHeight="1" x14ac:dyDescent="0.2">
      <c r="A1024" s="717"/>
      <c r="B1024" s="737"/>
      <c r="C1024" s="740"/>
      <c r="D1024" s="470">
        <v>2022</v>
      </c>
      <c r="E1024" s="567">
        <f t="shared" si="412"/>
        <v>1.69</v>
      </c>
      <c r="F1024" s="567">
        <v>1.69</v>
      </c>
      <c r="G1024" s="567">
        <v>0</v>
      </c>
      <c r="H1024" s="567">
        <v>0</v>
      </c>
      <c r="I1024" s="567">
        <v>0</v>
      </c>
      <c r="J1024" s="567">
        <v>0</v>
      </c>
      <c r="K1024" s="52">
        <f t="shared" ref="K1024:K1086" si="413">F1024+G1024+H1024+I1024+J1024</f>
        <v>1.69</v>
      </c>
      <c r="L1024" s="94"/>
      <c r="M1024" s="50"/>
      <c r="N1024" s="95"/>
      <c r="O1024" s="520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  <c r="AF1024" s="65"/>
      <c r="AG1024" s="65"/>
      <c r="AH1024" s="65"/>
      <c r="AI1024" s="65"/>
      <c r="AJ1024" s="65"/>
      <c r="AK1024" s="65"/>
      <c r="AL1024" s="65"/>
      <c r="AM1024" s="65"/>
      <c r="AN1024" s="65"/>
      <c r="AO1024" s="65"/>
      <c r="AP1024" s="65"/>
      <c r="AQ1024" s="65"/>
      <c r="AR1024" s="65"/>
      <c r="AS1024" s="65"/>
      <c r="AT1024" s="65"/>
      <c r="AU1024" s="65"/>
      <c r="AV1024" s="65"/>
      <c r="AW1024" s="65"/>
      <c r="AX1024" s="65"/>
      <c r="AY1024" s="65"/>
      <c r="AZ1024" s="65"/>
      <c r="BA1024" s="65"/>
      <c r="BB1024" s="65"/>
      <c r="BC1024" s="65"/>
      <c r="BD1024" s="65"/>
      <c r="BE1024" s="66"/>
    </row>
    <row r="1025" spans="1:57" s="48" customFormat="1" ht="14.25" customHeight="1" x14ac:dyDescent="0.2">
      <c r="A1025" s="507"/>
      <c r="B1025" s="737"/>
      <c r="C1025" s="740"/>
      <c r="D1025" s="470">
        <v>2023</v>
      </c>
      <c r="E1025" s="567">
        <f t="shared" si="412"/>
        <v>2.9358</v>
      </c>
      <c r="F1025" s="567">
        <v>1.69</v>
      </c>
      <c r="G1025" s="567">
        <v>0</v>
      </c>
      <c r="H1025" s="567">
        <v>0</v>
      </c>
      <c r="I1025" s="567">
        <v>0</v>
      </c>
      <c r="J1025" s="567">
        <v>1.2458</v>
      </c>
      <c r="K1025" s="52">
        <f t="shared" si="413"/>
        <v>2.9358</v>
      </c>
      <c r="L1025" s="94"/>
      <c r="M1025" s="50"/>
      <c r="N1025" s="95"/>
      <c r="O1025" s="520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6"/>
    </row>
    <row r="1026" spans="1:57" s="48" customFormat="1" ht="14.25" customHeight="1" x14ac:dyDescent="0.2">
      <c r="A1026" s="507"/>
      <c r="B1026" s="737"/>
      <c r="C1026" s="740"/>
      <c r="D1026" s="470">
        <v>2024</v>
      </c>
      <c r="E1026" s="567">
        <f t="shared" si="412"/>
        <v>2.9358</v>
      </c>
      <c r="F1026" s="567">
        <v>1.69</v>
      </c>
      <c r="G1026" s="567">
        <v>0</v>
      </c>
      <c r="H1026" s="567">
        <v>0</v>
      </c>
      <c r="I1026" s="567">
        <v>0</v>
      </c>
      <c r="J1026" s="567">
        <v>1.2458</v>
      </c>
      <c r="K1026" s="52">
        <f t="shared" si="413"/>
        <v>2.9358</v>
      </c>
      <c r="L1026" s="94"/>
      <c r="M1026" s="50"/>
      <c r="N1026" s="95"/>
      <c r="O1026" s="520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6"/>
    </row>
    <row r="1027" spans="1:57" s="48" customFormat="1" ht="14.25" customHeight="1" x14ac:dyDescent="0.2">
      <c r="A1027" s="507"/>
      <c r="B1027" s="737"/>
      <c r="C1027" s="741"/>
      <c r="D1027" s="470">
        <v>2025</v>
      </c>
      <c r="E1027" s="567">
        <f t="shared" si="412"/>
        <v>2.9358</v>
      </c>
      <c r="F1027" s="567">
        <v>1.69</v>
      </c>
      <c r="G1027" s="567">
        <v>0</v>
      </c>
      <c r="H1027" s="567">
        <v>0</v>
      </c>
      <c r="I1027" s="567">
        <v>0</v>
      </c>
      <c r="J1027" s="567">
        <v>1.2458</v>
      </c>
      <c r="K1027" s="52">
        <f t="shared" si="413"/>
        <v>2.9358</v>
      </c>
      <c r="L1027" s="94"/>
      <c r="M1027" s="50"/>
      <c r="N1027" s="95"/>
      <c r="O1027" s="520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6"/>
    </row>
    <row r="1028" spans="1:57" s="48" customFormat="1" ht="14.25" customHeight="1" x14ac:dyDescent="0.2">
      <c r="A1028" s="507"/>
      <c r="B1028" s="737"/>
      <c r="C1028" s="739" t="s">
        <v>1002</v>
      </c>
      <c r="D1028" s="470">
        <v>2026</v>
      </c>
      <c r="E1028" s="567">
        <f t="shared" si="412"/>
        <v>2.9358</v>
      </c>
      <c r="F1028" s="567">
        <v>1.69</v>
      </c>
      <c r="G1028" s="567">
        <v>0</v>
      </c>
      <c r="H1028" s="567">
        <v>0</v>
      </c>
      <c r="I1028" s="567">
        <v>0</v>
      </c>
      <c r="J1028" s="567">
        <v>1.2458</v>
      </c>
      <c r="K1028" s="52">
        <f t="shared" si="413"/>
        <v>2.9358</v>
      </c>
      <c r="L1028" s="94"/>
      <c r="M1028" s="50"/>
      <c r="N1028" s="95"/>
      <c r="O1028" s="520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6"/>
    </row>
    <row r="1029" spans="1:57" s="48" customFormat="1" ht="14.25" customHeight="1" x14ac:dyDescent="0.2">
      <c r="A1029" s="507"/>
      <c r="B1029" s="737"/>
      <c r="C1029" s="740"/>
      <c r="D1029" s="470">
        <v>2027</v>
      </c>
      <c r="E1029" s="567">
        <f t="shared" si="412"/>
        <v>2.9358</v>
      </c>
      <c r="F1029" s="567">
        <v>1.69</v>
      </c>
      <c r="G1029" s="567">
        <v>0</v>
      </c>
      <c r="H1029" s="567">
        <v>0</v>
      </c>
      <c r="I1029" s="567">
        <v>0</v>
      </c>
      <c r="J1029" s="567">
        <v>1.2458</v>
      </c>
      <c r="K1029" s="52">
        <f t="shared" si="413"/>
        <v>2.9358</v>
      </c>
      <c r="L1029" s="94"/>
      <c r="M1029" s="50"/>
      <c r="N1029" s="95"/>
      <c r="O1029" s="520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6"/>
    </row>
    <row r="1030" spans="1:57" s="48" customFormat="1" ht="14.25" customHeight="1" x14ac:dyDescent="0.2">
      <c r="A1030" s="507"/>
      <c r="B1030" s="737"/>
      <c r="C1030" s="740"/>
      <c r="D1030" s="470">
        <v>2028</v>
      </c>
      <c r="E1030" s="567">
        <f t="shared" si="412"/>
        <v>2.9358</v>
      </c>
      <c r="F1030" s="567">
        <v>1.69</v>
      </c>
      <c r="G1030" s="567">
        <v>0</v>
      </c>
      <c r="H1030" s="567">
        <v>0</v>
      </c>
      <c r="I1030" s="567">
        <v>0</v>
      </c>
      <c r="J1030" s="567">
        <v>1.2458</v>
      </c>
      <c r="K1030" s="52">
        <f t="shared" si="413"/>
        <v>2.9358</v>
      </c>
      <c r="L1030" s="94"/>
      <c r="M1030" s="50"/>
      <c r="N1030" s="95"/>
      <c r="O1030" s="520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6"/>
    </row>
    <row r="1031" spans="1:57" s="48" customFormat="1" ht="14.25" customHeight="1" x14ac:dyDescent="0.2">
      <c r="A1031" s="507"/>
      <c r="B1031" s="737"/>
      <c r="C1031" s="740"/>
      <c r="D1031" s="470">
        <v>2029</v>
      </c>
      <c r="E1031" s="567">
        <f t="shared" si="412"/>
        <v>2.9358</v>
      </c>
      <c r="F1031" s="567">
        <v>1.69</v>
      </c>
      <c r="G1031" s="567">
        <v>0</v>
      </c>
      <c r="H1031" s="567">
        <v>0</v>
      </c>
      <c r="I1031" s="567">
        <v>0</v>
      </c>
      <c r="J1031" s="567">
        <v>1.2458</v>
      </c>
      <c r="K1031" s="52">
        <f t="shared" si="413"/>
        <v>2.9358</v>
      </c>
      <c r="L1031" s="94"/>
      <c r="M1031" s="50"/>
      <c r="N1031" s="95"/>
      <c r="O1031" s="520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  <c r="AF1031" s="65"/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6"/>
    </row>
    <row r="1032" spans="1:57" s="48" customFormat="1" ht="14.25" customHeight="1" x14ac:dyDescent="0.2">
      <c r="A1032" s="507"/>
      <c r="B1032" s="738"/>
      <c r="C1032" s="741"/>
      <c r="D1032" s="470">
        <v>2030</v>
      </c>
      <c r="E1032" s="567">
        <f t="shared" si="412"/>
        <v>2.9358</v>
      </c>
      <c r="F1032" s="567">
        <v>1.69</v>
      </c>
      <c r="G1032" s="567">
        <v>0</v>
      </c>
      <c r="H1032" s="567">
        <v>0</v>
      </c>
      <c r="I1032" s="567">
        <v>0</v>
      </c>
      <c r="J1032" s="567">
        <v>1.2458</v>
      </c>
      <c r="K1032" s="52">
        <f t="shared" si="413"/>
        <v>2.9358</v>
      </c>
      <c r="L1032" s="94"/>
      <c r="M1032" s="50"/>
      <c r="N1032" s="95"/>
      <c r="O1032" s="520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/>
      <c r="BB1032" s="65"/>
      <c r="BC1032" s="65"/>
      <c r="BD1032" s="65"/>
      <c r="BE1032" s="66"/>
    </row>
    <row r="1033" spans="1:57" s="48" customFormat="1" ht="23.25" customHeight="1" x14ac:dyDescent="0.2">
      <c r="A1033" s="662" t="s">
        <v>939</v>
      </c>
      <c r="B1033" s="728" t="s">
        <v>746</v>
      </c>
      <c r="C1033" s="522"/>
      <c r="D1033" s="46" t="s">
        <v>198</v>
      </c>
      <c r="E1033" s="47">
        <f>E1034+E1035+E1036+E1037+E1038+E1039+E1040+E1041+E1042+E1043+E1044+E1045</f>
        <v>1638.9453999999994</v>
      </c>
      <c r="F1033" s="47">
        <f>F1034+F1035+F1036+F1037+F1038+F1039+F1040+F1041+F1042+F1043+F1044+F1045</f>
        <v>1638.9453999999994</v>
      </c>
      <c r="G1033" s="47">
        <f t="shared" ref="G1033:J1033" si="414">G1034+G1035+G1036+G1037+G1038+G1039+G1040+G1041+G1042+G1043+G1044+G1045</f>
        <v>0</v>
      </c>
      <c r="H1033" s="47">
        <f t="shared" si="414"/>
        <v>0</v>
      </c>
      <c r="I1033" s="47">
        <f t="shared" si="414"/>
        <v>0</v>
      </c>
      <c r="J1033" s="47">
        <f t="shared" si="414"/>
        <v>0</v>
      </c>
      <c r="K1033" s="52">
        <f t="shared" si="413"/>
        <v>1638.9453999999994</v>
      </c>
      <c r="L1033" s="94"/>
      <c r="M1033" s="50"/>
      <c r="N1033" s="95"/>
      <c r="O1033" s="746" t="s">
        <v>747</v>
      </c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/>
      <c r="BB1033" s="65"/>
      <c r="BC1033" s="65"/>
      <c r="BD1033" s="65"/>
      <c r="BE1033" s="66"/>
    </row>
    <row r="1034" spans="1:57" s="48" customFormat="1" ht="24.75" customHeight="1" x14ac:dyDescent="0.2">
      <c r="A1034" s="663"/>
      <c r="B1034" s="742"/>
      <c r="C1034" s="961" t="s">
        <v>744</v>
      </c>
      <c r="D1034" s="470">
        <v>2019</v>
      </c>
      <c r="E1034" s="567">
        <f>F1034</f>
        <v>143.0934</v>
      </c>
      <c r="F1034" s="567">
        <v>143.0934</v>
      </c>
      <c r="G1034" s="567">
        <v>0</v>
      </c>
      <c r="H1034" s="567">
        <v>0</v>
      </c>
      <c r="I1034" s="567">
        <v>0</v>
      </c>
      <c r="J1034" s="567">
        <v>0</v>
      </c>
      <c r="K1034" s="52">
        <f t="shared" si="413"/>
        <v>143.0934</v>
      </c>
      <c r="L1034" s="94"/>
      <c r="M1034" s="50"/>
      <c r="N1034" s="95"/>
      <c r="O1034" s="701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/>
      <c r="BB1034" s="65"/>
      <c r="BC1034" s="65"/>
      <c r="BD1034" s="65"/>
      <c r="BE1034" s="66"/>
    </row>
    <row r="1035" spans="1:57" s="48" customFormat="1" ht="15.75" customHeight="1" x14ac:dyDescent="0.2">
      <c r="A1035" s="478"/>
      <c r="B1035" s="631" t="s">
        <v>940</v>
      </c>
      <c r="C1035" s="962"/>
      <c r="D1035" s="470">
        <v>2020</v>
      </c>
      <c r="E1035" s="567">
        <f t="shared" ref="E1035:E1045" si="415">F1035</f>
        <v>145.28030000000001</v>
      </c>
      <c r="F1035" s="567">
        <v>145.28030000000001</v>
      </c>
      <c r="G1035" s="567">
        <v>0</v>
      </c>
      <c r="H1035" s="567">
        <v>0</v>
      </c>
      <c r="I1035" s="567">
        <v>0</v>
      </c>
      <c r="J1035" s="567">
        <v>0</v>
      </c>
      <c r="K1035" s="52">
        <f t="shared" si="413"/>
        <v>145.28030000000001</v>
      </c>
      <c r="L1035" s="94"/>
      <c r="M1035" s="50"/>
      <c r="N1035" s="95"/>
      <c r="O1035" s="701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/>
      <c r="BB1035" s="65"/>
      <c r="BC1035" s="65"/>
      <c r="BD1035" s="65"/>
      <c r="BE1035" s="66"/>
    </row>
    <row r="1036" spans="1:57" s="48" customFormat="1" ht="15.75" customHeight="1" x14ac:dyDescent="0.2">
      <c r="A1036" s="478"/>
      <c r="B1036" s="648"/>
      <c r="C1036" s="962"/>
      <c r="D1036" s="470">
        <v>2021</v>
      </c>
      <c r="E1036" s="567">
        <f t="shared" si="415"/>
        <v>130.91239999999999</v>
      </c>
      <c r="F1036" s="567">
        <v>130.91239999999999</v>
      </c>
      <c r="G1036" s="567">
        <v>0</v>
      </c>
      <c r="H1036" s="567">
        <v>0</v>
      </c>
      <c r="I1036" s="567">
        <v>0</v>
      </c>
      <c r="J1036" s="567">
        <v>0</v>
      </c>
      <c r="K1036" s="52">
        <f t="shared" si="413"/>
        <v>130.91239999999999</v>
      </c>
      <c r="L1036" s="94"/>
      <c r="M1036" s="50"/>
      <c r="N1036" s="95"/>
      <c r="O1036" s="701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/>
      <c r="BB1036" s="65"/>
      <c r="BC1036" s="65"/>
      <c r="BD1036" s="65"/>
      <c r="BE1036" s="66"/>
    </row>
    <row r="1037" spans="1:57" s="48" customFormat="1" ht="15.75" customHeight="1" x14ac:dyDescent="0.2">
      <c r="A1037" s="478"/>
      <c r="B1037" s="648"/>
      <c r="C1037" s="962"/>
      <c r="D1037" s="470">
        <v>2022</v>
      </c>
      <c r="E1037" s="567">
        <f t="shared" si="415"/>
        <v>134.25129999999999</v>
      </c>
      <c r="F1037" s="567">
        <v>134.25129999999999</v>
      </c>
      <c r="G1037" s="567">
        <v>0</v>
      </c>
      <c r="H1037" s="567">
        <v>0</v>
      </c>
      <c r="I1037" s="567">
        <v>0</v>
      </c>
      <c r="J1037" s="567">
        <v>0</v>
      </c>
      <c r="K1037" s="52">
        <f t="shared" si="413"/>
        <v>134.25129999999999</v>
      </c>
      <c r="L1037" s="94"/>
      <c r="M1037" s="50"/>
      <c r="N1037" s="95"/>
      <c r="O1037" s="701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/>
      <c r="BB1037" s="65"/>
      <c r="BC1037" s="65"/>
      <c r="BD1037" s="65"/>
      <c r="BE1037" s="66"/>
    </row>
    <row r="1038" spans="1:57" s="48" customFormat="1" ht="15.75" customHeight="1" x14ac:dyDescent="0.2">
      <c r="A1038" s="478"/>
      <c r="B1038" s="648"/>
      <c r="C1038" s="962"/>
      <c r="D1038" s="470">
        <v>2023</v>
      </c>
      <c r="E1038" s="567">
        <f t="shared" si="415"/>
        <v>135.67599999999999</v>
      </c>
      <c r="F1038" s="567">
        <v>135.67599999999999</v>
      </c>
      <c r="G1038" s="567">
        <v>0</v>
      </c>
      <c r="H1038" s="567">
        <v>0</v>
      </c>
      <c r="I1038" s="567">
        <v>0</v>
      </c>
      <c r="J1038" s="567">
        <v>0</v>
      </c>
      <c r="K1038" s="52">
        <f t="shared" si="413"/>
        <v>135.67599999999999</v>
      </c>
      <c r="L1038" s="94"/>
      <c r="M1038" s="50"/>
      <c r="N1038" s="95"/>
      <c r="O1038" s="701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/>
      <c r="BB1038" s="65"/>
      <c r="BC1038" s="65"/>
      <c r="BD1038" s="65"/>
      <c r="BE1038" s="66"/>
    </row>
    <row r="1039" spans="1:57" s="48" customFormat="1" ht="14.25" customHeight="1" x14ac:dyDescent="0.2">
      <c r="A1039" s="478"/>
      <c r="B1039" s="648"/>
      <c r="C1039" s="962"/>
      <c r="D1039" s="470">
        <v>2024</v>
      </c>
      <c r="E1039" s="567">
        <f t="shared" si="415"/>
        <v>135.67599999999999</v>
      </c>
      <c r="F1039" s="567">
        <v>135.67599999999999</v>
      </c>
      <c r="G1039" s="567">
        <v>0</v>
      </c>
      <c r="H1039" s="567">
        <v>0</v>
      </c>
      <c r="I1039" s="567">
        <v>0</v>
      </c>
      <c r="J1039" s="567">
        <v>0</v>
      </c>
      <c r="K1039" s="52">
        <f t="shared" si="413"/>
        <v>135.67599999999999</v>
      </c>
      <c r="L1039" s="94"/>
      <c r="M1039" s="50"/>
      <c r="N1039" s="95"/>
      <c r="O1039" s="701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/>
      <c r="BB1039" s="65"/>
      <c r="BC1039" s="65"/>
      <c r="BD1039" s="65"/>
      <c r="BE1039" s="66"/>
    </row>
    <row r="1040" spans="1:57" s="48" customFormat="1" ht="14.25" customHeight="1" x14ac:dyDescent="0.2">
      <c r="A1040" s="478"/>
      <c r="B1040" s="648"/>
      <c r="C1040" s="963"/>
      <c r="D1040" s="470">
        <v>2025</v>
      </c>
      <c r="E1040" s="567">
        <f t="shared" si="415"/>
        <v>135.67599999999999</v>
      </c>
      <c r="F1040" s="567">
        <v>135.67599999999999</v>
      </c>
      <c r="G1040" s="567">
        <v>0</v>
      </c>
      <c r="H1040" s="567">
        <v>0</v>
      </c>
      <c r="I1040" s="567">
        <v>0</v>
      </c>
      <c r="J1040" s="567">
        <v>0</v>
      </c>
      <c r="K1040" s="52">
        <f t="shared" si="413"/>
        <v>135.67599999999999</v>
      </c>
      <c r="L1040" s="94"/>
      <c r="M1040" s="50"/>
      <c r="N1040" s="95"/>
      <c r="O1040" s="701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/>
      <c r="BB1040" s="65"/>
      <c r="BC1040" s="65"/>
      <c r="BD1040" s="65"/>
      <c r="BE1040" s="66"/>
    </row>
    <row r="1041" spans="1:57" s="48" customFormat="1" ht="14.25" customHeight="1" x14ac:dyDescent="0.2">
      <c r="A1041" s="478"/>
      <c r="B1041" s="648"/>
      <c r="C1041" s="739" t="s">
        <v>745</v>
      </c>
      <c r="D1041" s="470">
        <v>2026</v>
      </c>
      <c r="E1041" s="567">
        <f t="shared" si="415"/>
        <v>135.67599999999999</v>
      </c>
      <c r="F1041" s="567">
        <v>135.67599999999999</v>
      </c>
      <c r="G1041" s="567">
        <v>0</v>
      </c>
      <c r="H1041" s="567">
        <v>0</v>
      </c>
      <c r="I1041" s="567">
        <v>0</v>
      </c>
      <c r="J1041" s="567">
        <v>0</v>
      </c>
      <c r="K1041" s="52">
        <f t="shared" si="413"/>
        <v>135.67599999999999</v>
      </c>
      <c r="L1041" s="94"/>
      <c r="M1041" s="50"/>
      <c r="N1041" s="95"/>
      <c r="O1041" s="701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/>
      <c r="BB1041" s="65"/>
      <c r="BC1041" s="65"/>
      <c r="BD1041" s="65"/>
      <c r="BE1041" s="66"/>
    </row>
    <row r="1042" spans="1:57" s="48" customFormat="1" ht="14.25" customHeight="1" x14ac:dyDescent="0.2">
      <c r="A1042" s="478"/>
      <c r="B1042" s="648"/>
      <c r="C1042" s="740"/>
      <c r="D1042" s="470">
        <v>2027</v>
      </c>
      <c r="E1042" s="567">
        <f t="shared" si="415"/>
        <v>135.67599999999999</v>
      </c>
      <c r="F1042" s="567">
        <v>135.67599999999999</v>
      </c>
      <c r="G1042" s="567">
        <v>0</v>
      </c>
      <c r="H1042" s="567">
        <v>0</v>
      </c>
      <c r="I1042" s="567">
        <v>0</v>
      </c>
      <c r="J1042" s="567">
        <v>0</v>
      </c>
      <c r="K1042" s="52">
        <f t="shared" si="413"/>
        <v>135.67599999999999</v>
      </c>
      <c r="L1042" s="94"/>
      <c r="M1042" s="50"/>
      <c r="N1042" s="95"/>
      <c r="O1042" s="701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/>
      <c r="BB1042" s="65"/>
      <c r="BC1042" s="65"/>
      <c r="BD1042" s="65"/>
      <c r="BE1042" s="66"/>
    </row>
    <row r="1043" spans="1:57" s="48" customFormat="1" ht="14.25" customHeight="1" x14ac:dyDescent="0.2">
      <c r="A1043" s="478"/>
      <c r="B1043" s="648"/>
      <c r="C1043" s="740"/>
      <c r="D1043" s="470">
        <v>2028</v>
      </c>
      <c r="E1043" s="567">
        <f t="shared" si="415"/>
        <v>135.67599999999999</v>
      </c>
      <c r="F1043" s="567">
        <v>135.67599999999999</v>
      </c>
      <c r="G1043" s="567">
        <v>0</v>
      </c>
      <c r="H1043" s="567">
        <v>0</v>
      </c>
      <c r="I1043" s="567">
        <v>0</v>
      </c>
      <c r="J1043" s="567">
        <v>0</v>
      </c>
      <c r="K1043" s="52">
        <f t="shared" si="413"/>
        <v>135.67599999999999</v>
      </c>
      <c r="L1043" s="94"/>
      <c r="M1043" s="50"/>
      <c r="N1043" s="95"/>
      <c r="O1043" s="701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6"/>
    </row>
    <row r="1044" spans="1:57" s="48" customFormat="1" ht="14.25" customHeight="1" x14ac:dyDescent="0.2">
      <c r="A1044" s="478"/>
      <c r="B1044" s="648"/>
      <c r="C1044" s="740"/>
      <c r="D1044" s="470">
        <v>2029</v>
      </c>
      <c r="E1044" s="567">
        <f t="shared" si="415"/>
        <v>135.67599999999999</v>
      </c>
      <c r="F1044" s="567">
        <v>135.67599999999999</v>
      </c>
      <c r="G1044" s="567">
        <v>0</v>
      </c>
      <c r="H1044" s="567">
        <v>0</v>
      </c>
      <c r="I1044" s="567">
        <v>0</v>
      </c>
      <c r="J1044" s="567">
        <v>0</v>
      </c>
      <c r="K1044" s="52">
        <f t="shared" si="413"/>
        <v>135.67599999999999</v>
      </c>
      <c r="L1044" s="94"/>
      <c r="M1044" s="50"/>
      <c r="N1044" s="95"/>
      <c r="O1044" s="701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65"/>
      <c r="AQ1044" s="65"/>
      <c r="AR1044" s="65"/>
      <c r="AS1044" s="65"/>
      <c r="AT1044" s="65"/>
      <c r="AU1044" s="65"/>
      <c r="AV1044" s="65"/>
      <c r="AW1044" s="65"/>
      <c r="AX1044" s="65"/>
      <c r="AY1044" s="65"/>
      <c r="AZ1044" s="65"/>
      <c r="BA1044" s="65"/>
      <c r="BB1044" s="65"/>
      <c r="BC1044" s="65"/>
      <c r="BD1044" s="65"/>
      <c r="BE1044" s="66"/>
    </row>
    <row r="1045" spans="1:57" s="48" customFormat="1" ht="14.25" customHeight="1" x14ac:dyDescent="0.2">
      <c r="A1045" s="473"/>
      <c r="B1045" s="632"/>
      <c r="C1045" s="741"/>
      <c r="D1045" s="470">
        <v>2030</v>
      </c>
      <c r="E1045" s="567">
        <f t="shared" si="415"/>
        <v>135.67599999999999</v>
      </c>
      <c r="F1045" s="567">
        <v>135.67599999999999</v>
      </c>
      <c r="G1045" s="567">
        <v>0</v>
      </c>
      <c r="H1045" s="567">
        <v>0</v>
      </c>
      <c r="I1045" s="567">
        <v>0</v>
      </c>
      <c r="J1045" s="567">
        <v>0</v>
      </c>
      <c r="K1045" s="52">
        <f t="shared" si="413"/>
        <v>135.67599999999999</v>
      </c>
      <c r="L1045" s="94"/>
      <c r="M1045" s="50"/>
      <c r="N1045" s="95"/>
      <c r="O1045" s="702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/>
      <c r="BB1045" s="65"/>
      <c r="BC1045" s="65"/>
      <c r="BD1045" s="65"/>
      <c r="BE1045" s="66"/>
    </row>
    <row r="1046" spans="1:57" s="48" customFormat="1" ht="12.75" customHeight="1" x14ac:dyDescent="0.2">
      <c r="A1046" s="731" t="s">
        <v>706</v>
      </c>
      <c r="B1046" s="649" t="s">
        <v>707</v>
      </c>
      <c r="C1046" s="508"/>
      <c r="D1046" s="46" t="s">
        <v>198</v>
      </c>
      <c r="E1046" s="47">
        <f>E1047+E1048+E1049+E1050+E1051+E1052+E1053+E1054+E1055+E1056+E1057+E1058</f>
        <v>13.259011641518081</v>
      </c>
      <c r="F1046" s="47">
        <f>F1047+F1048+F1049+F1050+F1051+F1052+F1053+F1054+F1055+F1056+F1057+F1058</f>
        <v>13.259011641518081</v>
      </c>
      <c r="G1046" s="47">
        <f>G1047+G1048+G1049+G1050+G1051+G1052+G1053+G1054+G1055+G1056+G1057+G1058</f>
        <v>0</v>
      </c>
      <c r="H1046" s="47">
        <f t="shared" ref="H1046:J1046" si="416">H1047+H1048+H1049+H1050+H1051+H1052+H1053+H1054+H1055+H1056+H1057+H1058</f>
        <v>0</v>
      </c>
      <c r="I1046" s="47">
        <f t="shared" si="416"/>
        <v>0</v>
      </c>
      <c r="J1046" s="47">
        <f t="shared" si="416"/>
        <v>0</v>
      </c>
      <c r="K1046" s="52">
        <f t="shared" si="413"/>
        <v>13.259011641518081</v>
      </c>
      <c r="L1046" s="52"/>
      <c r="M1046" s="50"/>
      <c r="N1046" s="51"/>
      <c r="O1046" s="49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65"/>
      <c r="AQ1046" s="65"/>
      <c r="AR1046" s="65"/>
      <c r="AS1046" s="65"/>
      <c r="AT1046" s="65"/>
      <c r="AU1046" s="65"/>
      <c r="AV1046" s="65"/>
      <c r="AW1046" s="65"/>
      <c r="AX1046" s="65"/>
      <c r="AY1046" s="65"/>
      <c r="AZ1046" s="65"/>
      <c r="BA1046" s="65"/>
      <c r="BB1046" s="65"/>
      <c r="BC1046" s="65"/>
      <c r="BD1046" s="65"/>
      <c r="BE1046" s="66"/>
    </row>
    <row r="1047" spans="1:57" s="48" customFormat="1" ht="12.75" customHeight="1" x14ac:dyDescent="0.2">
      <c r="A1047" s="732"/>
      <c r="B1047" s="650"/>
      <c r="C1047" s="499"/>
      <c r="D1047" s="46">
        <v>2019</v>
      </c>
      <c r="E1047" s="47">
        <f>E1067</f>
        <v>0.05</v>
      </c>
      <c r="F1047" s="47">
        <f>F1067</f>
        <v>0.05</v>
      </c>
      <c r="G1047" s="47">
        <f t="shared" ref="G1047:J1047" si="417">G1067</f>
        <v>0</v>
      </c>
      <c r="H1047" s="47">
        <f t="shared" si="417"/>
        <v>0</v>
      </c>
      <c r="I1047" s="47">
        <f t="shared" si="417"/>
        <v>0</v>
      </c>
      <c r="J1047" s="47">
        <f t="shared" si="417"/>
        <v>0</v>
      </c>
      <c r="K1047" s="52">
        <f t="shared" si="413"/>
        <v>0.05</v>
      </c>
      <c r="L1047" s="52"/>
      <c r="M1047" s="50"/>
      <c r="N1047" s="51"/>
      <c r="O1047" s="49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/>
      <c r="BB1047" s="65"/>
      <c r="BC1047" s="65"/>
      <c r="BD1047" s="65"/>
      <c r="BE1047" s="66"/>
    </row>
    <row r="1048" spans="1:57" s="48" customFormat="1" ht="12.75" customHeight="1" x14ac:dyDescent="0.2">
      <c r="A1048" s="732"/>
      <c r="B1048" s="650"/>
      <c r="C1048" s="499"/>
      <c r="D1048" s="46">
        <v>2020</v>
      </c>
      <c r="E1048" s="47">
        <f>E1068+E1095</f>
        <v>7.2400000000000006E-2</v>
      </c>
      <c r="F1048" s="47">
        <f t="shared" ref="F1048:J1049" si="418">F1068+F1095</f>
        <v>7.2400000000000006E-2</v>
      </c>
      <c r="G1048" s="47">
        <f t="shared" si="418"/>
        <v>0</v>
      </c>
      <c r="H1048" s="47">
        <f t="shared" si="418"/>
        <v>0</v>
      </c>
      <c r="I1048" s="47">
        <f t="shared" si="418"/>
        <v>0</v>
      </c>
      <c r="J1048" s="47">
        <f t="shared" si="418"/>
        <v>0</v>
      </c>
      <c r="K1048" s="52">
        <f t="shared" si="413"/>
        <v>7.2400000000000006E-2</v>
      </c>
      <c r="L1048" s="52"/>
      <c r="M1048" s="50"/>
      <c r="N1048" s="51"/>
      <c r="O1048" s="49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5"/>
      <c r="AW1048" s="65"/>
      <c r="AX1048" s="65"/>
      <c r="AY1048" s="65"/>
      <c r="AZ1048" s="65"/>
      <c r="BA1048" s="65"/>
      <c r="BB1048" s="65"/>
      <c r="BC1048" s="65"/>
      <c r="BD1048" s="65"/>
      <c r="BE1048" s="66"/>
    </row>
    <row r="1049" spans="1:57" s="48" customFormat="1" ht="12.75" customHeight="1" x14ac:dyDescent="0.2">
      <c r="A1049" s="732"/>
      <c r="B1049" s="650"/>
      <c r="C1049" s="499"/>
      <c r="D1049" s="46">
        <v>2021</v>
      </c>
      <c r="E1049" s="47">
        <f>E1069+E1096</f>
        <v>0.62400999999999995</v>
      </c>
      <c r="F1049" s="47">
        <f t="shared" si="418"/>
        <v>0.62400999999999995</v>
      </c>
      <c r="G1049" s="47">
        <f t="shared" si="418"/>
        <v>0</v>
      </c>
      <c r="H1049" s="47">
        <f t="shared" si="418"/>
        <v>0</v>
      </c>
      <c r="I1049" s="47">
        <f t="shared" si="418"/>
        <v>0</v>
      </c>
      <c r="J1049" s="47">
        <f t="shared" si="418"/>
        <v>0</v>
      </c>
      <c r="K1049" s="52">
        <f t="shared" si="413"/>
        <v>0.62400999999999995</v>
      </c>
      <c r="L1049" s="52"/>
      <c r="M1049" s="50"/>
      <c r="N1049" s="51"/>
      <c r="O1049" s="49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6"/>
    </row>
    <row r="1050" spans="1:57" s="48" customFormat="1" ht="12.75" customHeight="1" x14ac:dyDescent="0.2">
      <c r="A1050" s="732"/>
      <c r="B1050" s="650"/>
      <c r="C1050" s="499"/>
      <c r="D1050" s="46">
        <v>2022</v>
      </c>
      <c r="E1050" s="47">
        <f>E1097+E1070</f>
        <v>5.2510000000000001E-2</v>
      </c>
      <c r="F1050" s="47">
        <f t="shared" ref="F1050:J1050" si="419">F1097</f>
        <v>5.2510000000000001E-2</v>
      </c>
      <c r="G1050" s="47">
        <f t="shared" si="419"/>
        <v>0</v>
      </c>
      <c r="H1050" s="47">
        <f t="shared" si="419"/>
        <v>0</v>
      </c>
      <c r="I1050" s="47">
        <f t="shared" si="419"/>
        <v>0</v>
      </c>
      <c r="J1050" s="47">
        <f t="shared" si="419"/>
        <v>0</v>
      </c>
      <c r="K1050" s="52">
        <f t="shared" si="413"/>
        <v>5.2510000000000001E-2</v>
      </c>
      <c r="L1050" s="52"/>
      <c r="M1050" s="50"/>
      <c r="N1050" s="51"/>
      <c r="O1050" s="49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6"/>
    </row>
    <row r="1051" spans="1:57" s="48" customFormat="1" ht="12.75" customHeight="1" x14ac:dyDescent="0.2">
      <c r="A1051" s="732"/>
      <c r="B1051" s="650"/>
      <c r="C1051" s="499"/>
      <c r="D1051" s="46">
        <v>2023</v>
      </c>
      <c r="E1051" s="47">
        <f>E1093+E1071+E1098+E1119</f>
        <v>1.1184799999999999</v>
      </c>
      <c r="F1051" s="47">
        <f t="shared" ref="F1051:J1051" si="420">F1093+F1071+F1098+F1119</f>
        <v>1.1184799999999999</v>
      </c>
      <c r="G1051" s="47">
        <f t="shared" si="420"/>
        <v>0</v>
      </c>
      <c r="H1051" s="47">
        <f t="shared" si="420"/>
        <v>0</v>
      </c>
      <c r="I1051" s="47">
        <f t="shared" si="420"/>
        <v>0</v>
      </c>
      <c r="J1051" s="47">
        <f t="shared" si="420"/>
        <v>0</v>
      </c>
      <c r="K1051" s="52">
        <f t="shared" si="413"/>
        <v>1.1184799999999999</v>
      </c>
      <c r="L1051" s="52"/>
      <c r="M1051" s="50"/>
      <c r="N1051" s="51"/>
      <c r="O1051" s="49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65"/>
      <c r="AQ1051" s="65"/>
      <c r="AR1051" s="65"/>
      <c r="AS1051" s="65"/>
      <c r="AT1051" s="65"/>
      <c r="AU1051" s="65"/>
      <c r="AV1051" s="65"/>
      <c r="AW1051" s="65"/>
      <c r="AX1051" s="65"/>
      <c r="AY1051" s="65"/>
      <c r="AZ1051" s="65"/>
      <c r="BA1051" s="65"/>
      <c r="BB1051" s="65"/>
      <c r="BC1051" s="65"/>
      <c r="BD1051" s="65"/>
      <c r="BE1051" s="66"/>
    </row>
    <row r="1052" spans="1:57" s="48" customFormat="1" ht="12.75" customHeight="1" x14ac:dyDescent="0.2">
      <c r="A1052" s="732"/>
      <c r="B1052" s="650"/>
      <c r="C1052" s="499"/>
      <c r="D1052" s="46">
        <v>2024</v>
      </c>
      <c r="E1052" s="47">
        <f>E1072+E1099+E1120</f>
        <v>1.7029000000000001</v>
      </c>
      <c r="F1052" s="47">
        <f t="shared" ref="F1052:J1052" si="421">F1072+F1099+F1120</f>
        <v>1.7029000000000001</v>
      </c>
      <c r="G1052" s="47">
        <f t="shared" si="421"/>
        <v>0</v>
      </c>
      <c r="H1052" s="47">
        <f t="shared" si="421"/>
        <v>0</v>
      </c>
      <c r="I1052" s="47">
        <f t="shared" si="421"/>
        <v>0</v>
      </c>
      <c r="J1052" s="47">
        <f t="shared" si="421"/>
        <v>0</v>
      </c>
      <c r="K1052" s="52">
        <f t="shared" si="413"/>
        <v>1.7029000000000001</v>
      </c>
      <c r="L1052" s="52"/>
      <c r="M1052" s="50"/>
      <c r="N1052" s="51"/>
      <c r="O1052" s="49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65"/>
      <c r="AQ1052" s="65"/>
      <c r="AR1052" s="65"/>
      <c r="AS1052" s="65"/>
      <c r="AT1052" s="65"/>
      <c r="AU1052" s="65"/>
      <c r="AV1052" s="65"/>
      <c r="AW1052" s="65"/>
      <c r="AX1052" s="65"/>
      <c r="AY1052" s="65"/>
      <c r="AZ1052" s="65"/>
      <c r="BA1052" s="65"/>
      <c r="BB1052" s="65"/>
      <c r="BC1052" s="65"/>
      <c r="BD1052" s="65"/>
      <c r="BE1052" s="66"/>
    </row>
    <row r="1053" spans="1:57" s="48" customFormat="1" ht="12.75" customHeight="1" x14ac:dyDescent="0.2">
      <c r="A1053" s="732"/>
      <c r="B1053" s="650"/>
      <c r="C1053" s="499"/>
      <c r="D1053" s="46">
        <v>2025</v>
      </c>
      <c r="E1053" s="47">
        <f>E1073+E1121</f>
        <v>1.1152</v>
      </c>
      <c r="F1053" s="47">
        <f t="shared" ref="F1053:J1053" si="422">F1073+F1121</f>
        <v>1.1152</v>
      </c>
      <c r="G1053" s="47">
        <f t="shared" si="422"/>
        <v>0</v>
      </c>
      <c r="H1053" s="47">
        <f t="shared" si="422"/>
        <v>0</v>
      </c>
      <c r="I1053" s="47">
        <f t="shared" si="422"/>
        <v>0</v>
      </c>
      <c r="J1053" s="47">
        <f t="shared" si="422"/>
        <v>0</v>
      </c>
      <c r="K1053" s="52">
        <f t="shared" si="413"/>
        <v>1.1152</v>
      </c>
      <c r="L1053" s="52"/>
      <c r="M1053" s="50"/>
      <c r="N1053" s="51"/>
      <c r="O1053" s="49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5"/>
      <c r="AW1053" s="65"/>
      <c r="AX1053" s="65"/>
      <c r="AY1053" s="65"/>
      <c r="AZ1053" s="65"/>
      <c r="BA1053" s="65"/>
      <c r="BB1053" s="65"/>
      <c r="BC1053" s="65"/>
      <c r="BD1053" s="65"/>
      <c r="BE1053" s="66"/>
    </row>
    <row r="1054" spans="1:57" s="48" customFormat="1" ht="12.75" customHeight="1" x14ac:dyDescent="0.2">
      <c r="A1054" s="732"/>
      <c r="B1054" s="650"/>
      <c r="C1054" s="499"/>
      <c r="D1054" s="46">
        <v>2026</v>
      </c>
      <c r="E1054" s="47">
        <f>E1060+E1080+E1074</f>
        <v>2.188968</v>
      </c>
      <c r="F1054" s="47">
        <f t="shared" ref="F1054:F1056" si="423">F1060+F1080+F1074</f>
        <v>2.188968</v>
      </c>
      <c r="G1054" s="47">
        <f>G1060+G1080</f>
        <v>0</v>
      </c>
      <c r="H1054" s="47">
        <f>H1060+H1080</f>
        <v>0</v>
      </c>
      <c r="I1054" s="47">
        <f>I1060+I1080</f>
        <v>0</v>
      </c>
      <c r="J1054" s="47">
        <f>J1060+J1080</f>
        <v>0</v>
      </c>
      <c r="K1054" s="52">
        <f t="shared" si="413"/>
        <v>2.188968</v>
      </c>
      <c r="L1054" s="52"/>
      <c r="M1054" s="50"/>
      <c r="N1054" s="51"/>
      <c r="O1054" s="49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65"/>
      <c r="AQ1054" s="65"/>
      <c r="AR1054" s="65"/>
      <c r="AS1054" s="65"/>
      <c r="AT1054" s="65"/>
      <c r="AU1054" s="65"/>
      <c r="AV1054" s="65"/>
      <c r="AW1054" s="65"/>
      <c r="AX1054" s="65"/>
      <c r="AY1054" s="65"/>
      <c r="AZ1054" s="65"/>
      <c r="BA1054" s="65"/>
      <c r="BB1054" s="65"/>
      <c r="BC1054" s="65"/>
      <c r="BD1054" s="65"/>
      <c r="BE1054" s="66"/>
    </row>
    <row r="1055" spans="1:57" s="48" customFormat="1" ht="12.75" customHeight="1" x14ac:dyDescent="0.2">
      <c r="A1055" s="732"/>
      <c r="B1055" s="650"/>
      <c r="C1055" s="717"/>
      <c r="D1055" s="46">
        <v>2027</v>
      </c>
      <c r="E1055" s="47">
        <f>E1061+E1081+E1075</f>
        <v>2.19652672</v>
      </c>
      <c r="F1055" s="47">
        <f t="shared" si="423"/>
        <v>2.19652672</v>
      </c>
      <c r="G1055" s="47">
        <f>G1061+G1081+G1075</f>
        <v>0</v>
      </c>
      <c r="H1055" s="47">
        <f t="shared" ref="H1055:J1055" si="424">H1061+H1081+H1075</f>
        <v>0</v>
      </c>
      <c r="I1055" s="47">
        <f t="shared" si="424"/>
        <v>0</v>
      </c>
      <c r="J1055" s="47">
        <f t="shared" si="424"/>
        <v>0</v>
      </c>
      <c r="K1055" s="52">
        <f t="shared" si="413"/>
        <v>2.19652672</v>
      </c>
      <c r="L1055" s="52"/>
      <c r="M1055" s="50"/>
      <c r="N1055" s="51"/>
      <c r="O1055" s="49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65"/>
      <c r="AQ1055" s="65"/>
      <c r="AR1055" s="65"/>
      <c r="AS1055" s="65"/>
      <c r="AT1055" s="65"/>
      <c r="AU1055" s="65"/>
      <c r="AV1055" s="65"/>
      <c r="AW1055" s="65"/>
      <c r="AX1055" s="65"/>
      <c r="AY1055" s="65"/>
      <c r="AZ1055" s="65"/>
      <c r="BA1055" s="65"/>
      <c r="BB1055" s="65"/>
      <c r="BC1055" s="65"/>
      <c r="BD1055" s="65"/>
      <c r="BE1055" s="66"/>
    </row>
    <row r="1056" spans="1:57" s="48" customFormat="1" ht="12.75" customHeight="1" x14ac:dyDescent="0.2">
      <c r="A1056" s="732"/>
      <c r="B1056" s="650"/>
      <c r="C1056" s="717"/>
      <c r="D1056" s="46">
        <v>2028</v>
      </c>
      <c r="E1056" s="47">
        <f>E1062+E1082+E1076</f>
        <v>2.2043877888000001</v>
      </c>
      <c r="F1056" s="47">
        <f t="shared" si="423"/>
        <v>2.2043877888000001</v>
      </c>
      <c r="G1056" s="47">
        <f>G1062+G1082</f>
        <v>0</v>
      </c>
      <c r="H1056" s="47">
        <f>H1062+H1082</f>
        <v>0</v>
      </c>
      <c r="I1056" s="47">
        <f>I1062+I1082</f>
        <v>0</v>
      </c>
      <c r="J1056" s="47">
        <f>J1062+J1082</f>
        <v>0</v>
      </c>
      <c r="K1056" s="52">
        <f t="shared" si="413"/>
        <v>2.2043877888000001</v>
      </c>
      <c r="L1056" s="52"/>
      <c r="M1056" s="50"/>
      <c r="N1056" s="51"/>
      <c r="O1056" s="49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65"/>
      <c r="AQ1056" s="65"/>
      <c r="AR1056" s="65"/>
      <c r="AS1056" s="65"/>
      <c r="AT1056" s="65"/>
      <c r="AU1056" s="65"/>
      <c r="AV1056" s="65"/>
      <c r="AW1056" s="65"/>
      <c r="AX1056" s="65"/>
      <c r="AY1056" s="65"/>
      <c r="AZ1056" s="65"/>
      <c r="BA1056" s="65"/>
      <c r="BB1056" s="65"/>
      <c r="BC1056" s="65"/>
      <c r="BD1056" s="65"/>
      <c r="BE1056" s="66"/>
    </row>
    <row r="1057" spans="1:57" s="48" customFormat="1" ht="12.75" customHeight="1" x14ac:dyDescent="0.2">
      <c r="A1057" s="732"/>
      <c r="B1057" s="650"/>
      <c r="C1057" s="717"/>
      <c r="D1057" s="46">
        <v>2029</v>
      </c>
      <c r="E1057" s="47">
        <f>E1083+E1077</f>
        <v>1.712563300352</v>
      </c>
      <c r="F1057" s="47">
        <f>F1083+F1077</f>
        <v>1.712563300352</v>
      </c>
      <c r="G1057" s="47">
        <f t="shared" ref="G1057:J1057" si="425">G1083</f>
        <v>0</v>
      </c>
      <c r="H1057" s="47">
        <f t="shared" si="425"/>
        <v>0</v>
      </c>
      <c r="I1057" s="47">
        <f t="shared" si="425"/>
        <v>0</v>
      </c>
      <c r="J1057" s="47">
        <f t="shared" si="425"/>
        <v>0</v>
      </c>
      <c r="K1057" s="52">
        <f t="shared" si="413"/>
        <v>1.712563300352</v>
      </c>
      <c r="L1057" s="52"/>
      <c r="M1057" s="50"/>
      <c r="N1057" s="51"/>
      <c r="O1057" s="49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6"/>
    </row>
    <row r="1058" spans="1:57" s="48" customFormat="1" ht="15.75" customHeight="1" x14ac:dyDescent="0.2">
      <c r="A1058" s="733"/>
      <c r="B1058" s="651"/>
      <c r="C1058" s="734"/>
      <c r="D1058" s="46">
        <v>2030</v>
      </c>
      <c r="E1058" s="47">
        <f>F1058</f>
        <v>0.22106583236608005</v>
      </c>
      <c r="F1058" s="47">
        <f>F1078</f>
        <v>0.22106583236608005</v>
      </c>
      <c r="G1058" s="47">
        <f t="shared" ref="G1058:I1058" si="426">H1058</f>
        <v>0</v>
      </c>
      <c r="H1058" s="47">
        <f t="shared" si="426"/>
        <v>0</v>
      </c>
      <c r="I1058" s="47">
        <f t="shared" si="426"/>
        <v>0</v>
      </c>
      <c r="J1058" s="47">
        <f>K1058</f>
        <v>0</v>
      </c>
      <c r="K1058" s="52"/>
      <c r="L1058" s="52"/>
      <c r="M1058" s="50"/>
      <c r="N1058" s="51"/>
      <c r="O1058" s="62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65"/>
      <c r="AQ1058" s="65"/>
      <c r="AR1058" s="65"/>
      <c r="AS1058" s="65"/>
      <c r="AT1058" s="65"/>
      <c r="AU1058" s="65"/>
      <c r="AV1058" s="65"/>
      <c r="AW1058" s="65"/>
      <c r="AX1058" s="65"/>
      <c r="AY1058" s="65"/>
      <c r="AZ1058" s="65"/>
      <c r="BA1058" s="65"/>
      <c r="BB1058" s="65"/>
      <c r="BC1058" s="65"/>
      <c r="BD1058" s="65"/>
      <c r="BE1058" s="66"/>
    </row>
    <row r="1059" spans="1:57" s="48" customFormat="1" ht="14.25" customHeight="1" x14ac:dyDescent="0.2">
      <c r="A1059" s="697" t="s">
        <v>708</v>
      </c>
      <c r="B1059" s="705" t="s">
        <v>499</v>
      </c>
      <c r="C1059" s="631" t="s">
        <v>402</v>
      </c>
      <c r="D1059" s="46" t="s">
        <v>198</v>
      </c>
      <c r="E1059" s="47">
        <f>E1060+E1062+E1061</f>
        <v>1.5</v>
      </c>
      <c r="F1059" s="47">
        <f t="shared" ref="F1059:J1059" si="427">F1060+F1062+F1061</f>
        <v>1.5</v>
      </c>
      <c r="G1059" s="47">
        <f t="shared" si="427"/>
        <v>0</v>
      </c>
      <c r="H1059" s="47">
        <f t="shared" si="427"/>
        <v>0</v>
      </c>
      <c r="I1059" s="47">
        <f t="shared" si="427"/>
        <v>0</v>
      </c>
      <c r="J1059" s="47">
        <f t="shared" si="427"/>
        <v>0</v>
      </c>
      <c r="K1059" s="52">
        <f t="shared" si="413"/>
        <v>1.5</v>
      </c>
      <c r="L1059" s="52"/>
      <c r="M1059" s="50"/>
      <c r="N1059" s="51"/>
      <c r="O1059" s="695" t="s">
        <v>187</v>
      </c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  <c r="AF1059" s="65"/>
      <c r="AG1059" s="65"/>
      <c r="AH1059" s="65"/>
      <c r="AI1059" s="65"/>
      <c r="AJ1059" s="65"/>
      <c r="AK1059" s="65"/>
      <c r="AL1059" s="65"/>
      <c r="AM1059" s="65"/>
      <c r="AN1059" s="65"/>
      <c r="AO1059" s="65"/>
      <c r="AP1059" s="65"/>
      <c r="AQ1059" s="65"/>
      <c r="AR1059" s="65"/>
      <c r="AS1059" s="65"/>
      <c r="AT1059" s="65"/>
      <c r="AU1059" s="65"/>
      <c r="AV1059" s="65"/>
      <c r="AW1059" s="65"/>
      <c r="AX1059" s="65"/>
      <c r="AY1059" s="65"/>
      <c r="AZ1059" s="65"/>
      <c r="BA1059" s="65"/>
      <c r="BB1059" s="65"/>
      <c r="BC1059" s="65"/>
      <c r="BD1059" s="65"/>
      <c r="BE1059" s="66"/>
    </row>
    <row r="1060" spans="1:57" s="48" customFormat="1" x14ac:dyDescent="0.2">
      <c r="A1060" s="698"/>
      <c r="B1060" s="735"/>
      <c r="C1060" s="648"/>
      <c r="D1060" s="46">
        <v>2026</v>
      </c>
      <c r="E1060" s="567">
        <f>E1063</f>
        <v>0.5</v>
      </c>
      <c r="F1060" s="567">
        <f>F1063</f>
        <v>0.5</v>
      </c>
      <c r="G1060" s="567">
        <v>0</v>
      </c>
      <c r="H1060" s="567">
        <v>0</v>
      </c>
      <c r="I1060" s="567">
        <v>0</v>
      </c>
      <c r="J1060" s="567">
        <v>0</v>
      </c>
      <c r="K1060" s="52">
        <f t="shared" si="413"/>
        <v>0.5</v>
      </c>
      <c r="L1060" s="53"/>
      <c r="M1060" s="50"/>
      <c r="N1060" s="51"/>
      <c r="O1060" s="700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  <c r="AO1060" s="65"/>
      <c r="AP1060" s="65"/>
      <c r="AQ1060" s="65"/>
      <c r="AR1060" s="65"/>
      <c r="AS1060" s="65"/>
      <c r="AT1060" s="65"/>
      <c r="AU1060" s="65"/>
      <c r="AV1060" s="65"/>
      <c r="AW1060" s="65"/>
      <c r="AX1060" s="65"/>
      <c r="AY1060" s="65"/>
      <c r="AZ1060" s="65"/>
      <c r="BA1060" s="65"/>
      <c r="BB1060" s="65"/>
      <c r="BC1060" s="65"/>
      <c r="BD1060" s="65"/>
      <c r="BE1060" s="66"/>
    </row>
    <row r="1061" spans="1:57" s="48" customFormat="1" x14ac:dyDescent="0.2">
      <c r="A1061" s="698"/>
      <c r="B1061" s="735"/>
      <c r="C1061" s="648"/>
      <c r="D1061" s="46">
        <v>2027</v>
      </c>
      <c r="E1061" s="567">
        <f>E1064</f>
        <v>0.5</v>
      </c>
      <c r="F1061" s="567">
        <f t="shared" ref="F1061:J1062" si="428">F1064</f>
        <v>0.5</v>
      </c>
      <c r="G1061" s="567">
        <f t="shared" si="428"/>
        <v>0</v>
      </c>
      <c r="H1061" s="567">
        <f t="shared" si="428"/>
        <v>0</v>
      </c>
      <c r="I1061" s="567">
        <f t="shared" si="428"/>
        <v>0</v>
      </c>
      <c r="J1061" s="567">
        <f t="shared" si="428"/>
        <v>0</v>
      </c>
      <c r="K1061" s="52">
        <f t="shared" si="413"/>
        <v>0.5</v>
      </c>
      <c r="L1061" s="53"/>
      <c r="M1061" s="50"/>
      <c r="N1061" s="51"/>
      <c r="O1061" s="700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  <c r="AF1061" s="65"/>
      <c r="AG1061" s="65"/>
      <c r="AH1061" s="65"/>
      <c r="AI1061" s="65"/>
      <c r="AJ1061" s="65"/>
      <c r="AK1061" s="65"/>
      <c r="AL1061" s="65"/>
      <c r="AM1061" s="65"/>
      <c r="AN1061" s="65"/>
      <c r="AO1061" s="65"/>
      <c r="AP1061" s="65"/>
      <c r="AQ1061" s="65"/>
      <c r="AR1061" s="65"/>
      <c r="AS1061" s="65"/>
      <c r="AT1061" s="65"/>
      <c r="AU1061" s="65"/>
      <c r="AV1061" s="65"/>
      <c r="AW1061" s="65"/>
      <c r="AX1061" s="65"/>
      <c r="AY1061" s="65"/>
      <c r="AZ1061" s="65"/>
      <c r="BA1061" s="65"/>
      <c r="BB1061" s="65"/>
      <c r="BC1061" s="65"/>
      <c r="BD1061" s="65"/>
      <c r="BE1061" s="66"/>
    </row>
    <row r="1062" spans="1:57" s="48" customFormat="1" ht="29.25" customHeight="1" x14ac:dyDescent="0.2">
      <c r="A1062" s="698"/>
      <c r="B1062" s="735"/>
      <c r="C1062" s="648"/>
      <c r="D1062" s="46">
        <v>2028</v>
      </c>
      <c r="E1062" s="567">
        <f>E1065</f>
        <v>0.5</v>
      </c>
      <c r="F1062" s="567">
        <f t="shared" si="428"/>
        <v>0.5</v>
      </c>
      <c r="G1062" s="567">
        <f t="shared" si="428"/>
        <v>0</v>
      </c>
      <c r="H1062" s="567">
        <f t="shared" si="428"/>
        <v>0</v>
      </c>
      <c r="I1062" s="567">
        <f t="shared" si="428"/>
        <v>0</v>
      </c>
      <c r="J1062" s="567">
        <f t="shared" si="428"/>
        <v>0</v>
      </c>
      <c r="K1062" s="52">
        <f t="shared" si="413"/>
        <v>0.5</v>
      </c>
      <c r="L1062" s="53"/>
      <c r="M1062" s="50"/>
      <c r="N1062" s="51"/>
      <c r="O1062" s="700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  <c r="AF1062" s="65"/>
      <c r="AG1062" s="65"/>
      <c r="AH1062" s="65"/>
      <c r="AI1062" s="65"/>
      <c r="AJ1062" s="65"/>
      <c r="AK1062" s="65"/>
      <c r="AL1062" s="65"/>
      <c r="AM1062" s="65"/>
      <c r="AN1062" s="65"/>
      <c r="AO1062" s="65"/>
      <c r="AP1062" s="65"/>
      <c r="AQ1062" s="65"/>
      <c r="AR1062" s="65"/>
      <c r="AS1062" s="65"/>
      <c r="AT1062" s="65"/>
      <c r="AU1062" s="65"/>
      <c r="AV1062" s="65"/>
      <c r="AW1062" s="65"/>
      <c r="AX1062" s="65"/>
      <c r="AY1062" s="65"/>
      <c r="AZ1062" s="65"/>
      <c r="BA1062" s="65"/>
      <c r="BB1062" s="65"/>
      <c r="BC1062" s="65"/>
      <c r="BD1062" s="65"/>
      <c r="BE1062" s="66"/>
    </row>
    <row r="1063" spans="1:57" s="48" customFormat="1" ht="23.25" customHeight="1" x14ac:dyDescent="0.2">
      <c r="A1063" s="484" t="s">
        <v>709</v>
      </c>
      <c r="B1063" s="552" t="s">
        <v>496</v>
      </c>
      <c r="C1063" s="648"/>
      <c r="D1063" s="470">
        <v>2026</v>
      </c>
      <c r="E1063" s="567">
        <f t="shared" ref="E1063:E1065" si="429">F1063+G1063+H1063+I1063+J1063</f>
        <v>0.5</v>
      </c>
      <c r="F1063" s="567">
        <v>0.5</v>
      </c>
      <c r="G1063" s="567">
        <v>0</v>
      </c>
      <c r="H1063" s="567">
        <v>0</v>
      </c>
      <c r="I1063" s="567">
        <v>0</v>
      </c>
      <c r="J1063" s="567">
        <v>0</v>
      </c>
      <c r="K1063" s="52">
        <f t="shared" si="413"/>
        <v>0.5</v>
      </c>
      <c r="L1063" s="53"/>
      <c r="M1063" s="50"/>
      <c r="N1063" s="51"/>
      <c r="O1063" s="701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  <c r="AF1063" s="65"/>
      <c r="AG1063" s="65"/>
      <c r="AH1063" s="65"/>
      <c r="AI1063" s="65"/>
      <c r="AJ1063" s="65"/>
      <c r="AK1063" s="65"/>
      <c r="AL1063" s="65"/>
      <c r="AM1063" s="65"/>
      <c r="AN1063" s="65"/>
      <c r="AO1063" s="65"/>
      <c r="AP1063" s="65"/>
      <c r="AQ1063" s="65"/>
      <c r="AR1063" s="65"/>
      <c r="AS1063" s="65"/>
      <c r="AT1063" s="65"/>
      <c r="AU1063" s="65"/>
      <c r="AV1063" s="65"/>
      <c r="AW1063" s="65"/>
      <c r="AX1063" s="65"/>
      <c r="AY1063" s="65"/>
      <c r="AZ1063" s="65"/>
      <c r="BA1063" s="65"/>
      <c r="BB1063" s="65"/>
      <c r="BC1063" s="65"/>
      <c r="BD1063" s="65"/>
      <c r="BE1063" s="66"/>
    </row>
    <row r="1064" spans="1:57" s="48" customFormat="1" ht="23.25" customHeight="1" x14ac:dyDescent="0.2">
      <c r="A1064" s="484" t="s">
        <v>710</v>
      </c>
      <c r="B1064" s="552" t="s">
        <v>497</v>
      </c>
      <c r="C1064" s="648"/>
      <c r="D1064" s="470">
        <v>2027</v>
      </c>
      <c r="E1064" s="567">
        <f t="shared" si="429"/>
        <v>0.5</v>
      </c>
      <c r="F1064" s="567">
        <v>0.5</v>
      </c>
      <c r="G1064" s="567">
        <v>0</v>
      </c>
      <c r="H1064" s="567">
        <v>0</v>
      </c>
      <c r="I1064" s="567">
        <v>0</v>
      </c>
      <c r="J1064" s="567">
        <v>0</v>
      </c>
      <c r="K1064" s="52">
        <f t="shared" si="413"/>
        <v>0.5</v>
      </c>
      <c r="L1064" s="53"/>
      <c r="M1064" s="50"/>
      <c r="N1064" s="51"/>
      <c r="O1064" s="701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  <c r="AF1064" s="65"/>
      <c r="AG1064" s="65"/>
      <c r="AH1064" s="65"/>
      <c r="AI1064" s="65"/>
      <c r="AJ1064" s="65"/>
      <c r="AK1064" s="65"/>
      <c r="AL1064" s="65"/>
      <c r="AM1064" s="65"/>
      <c r="AN1064" s="65"/>
      <c r="AO1064" s="65"/>
      <c r="AP1064" s="65"/>
      <c r="AQ1064" s="65"/>
      <c r="AR1064" s="65"/>
      <c r="AS1064" s="65"/>
      <c r="AT1064" s="65"/>
      <c r="AU1064" s="65"/>
      <c r="AV1064" s="65"/>
      <c r="AW1064" s="65"/>
      <c r="AX1064" s="65"/>
      <c r="AY1064" s="65"/>
      <c r="AZ1064" s="65"/>
      <c r="BA1064" s="65"/>
      <c r="BB1064" s="65"/>
      <c r="BC1064" s="65"/>
      <c r="BD1064" s="65"/>
      <c r="BE1064" s="66"/>
    </row>
    <row r="1065" spans="1:57" s="48" customFormat="1" ht="23.25" customHeight="1" x14ac:dyDescent="0.2">
      <c r="A1065" s="484" t="s">
        <v>711</v>
      </c>
      <c r="B1065" s="552" t="s">
        <v>498</v>
      </c>
      <c r="C1065" s="632"/>
      <c r="D1065" s="470">
        <v>2028</v>
      </c>
      <c r="E1065" s="567">
        <f t="shared" si="429"/>
        <v>0.5</v>
      </c>
      <c r="F1065" s="567">
        <v>0.5</v>
      </c>
      <c r="G1065" s="567">
        <v>0</v>
      </c>
      <c r="H1065" s="567">
        <v>0</v>
      </c>
      <c r="I1065" s="567">
        <v>0</v>
      </c>
      <c r="J1065" s="567">
        <v>0</v>
      </c>
      <c r="K1065" s="52">
        <f t="shared" si="413"/>
        <v>0.5</v>
      </c>
      <c r="L1065" s="53"/>
      <c r="M1065" s="50"/>
      <c r="N1065" s="51"/>
      <c r="O1065" s="701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  <c r="AC1065" s="65"/>
      <c r="AD1065" s="65"/>
      <c r="AE1065" s="65"/>
      <c r="AF1065" s="65"/>
      <c r="AG1065" s="65"/>
      <c r="AH1065" s="65"/>
      <c r="AI1065" s="65"/>
      <c r="AJ1065" s="65"/>
      <c r="AK1065" s="65"/>
      <c r="AL1065" s="65"/>
      <c r="AM1065" s="65"/>
      <c r="AN1065" s="65"/>
      <c r="AO1065" s="65"/>
      <c r="AP1065" s="65"/>
      <c r="AQ1065" s="65"/>
      <c r="AR1065" s="65"/>
      <c r="AS1065" s="65"/>
      <c r="AT1065" s="65"/>
      <c r="AU1065" s="65"/>
      <c r="AV1065" s="65"/>
      <c r="AW1065" s="65"/>
      <c r="AX1065" s="65"/>
      <c r="AY1065" s="65"/>
      <c r="AZ1065" s="65"/>
      <c r="BA1065" s="65"/>
      <c r="BB1065" s="65"/>
      <c r="BC1065" s="65"/>
      <c r="BD1065" s="65"/>
      <c r="BE1065" s="66"/>
    </row>
    <row r="1066" spans="1:57" s="48" customFormat="1" ht="21" customHeight="1" x14ac:dyDescent="0.2">
      <c r="A1066" s="703" t="s">
        <v>712</v>
      </c>
      <c r="B1066" s="705" t="s">
        <v>512</v>
      </c>
      <c r="C1066" s="631" t="s">
        <v>402</v>
      </c>
      <c r="D1066" s="46" t="s">
        <v>513</v>
      </c>
      <c r="E1066" s="47">
        <f>E1067+E1068+E1069+E1070+E1071+E1072+E1073+E1074+E1075+E1076+E1077+E1078</f>
        <v>1.5979116415180803</v>
      </c>
      <c r="F1066" s="47">
        <f t="shared" ref="F1066:J1066" si="430">F1067+F1068+F1069+F1070+F1071+F1072+F1073+F1074+F1075+F1076+F1077+F1078</f>
        <v>1.5979116415180803</v>
      </c>
      <c r="G1066" s="47">
        <f t="shared" si="430"/>
        <v>0</v>
      </c>
      <c r="H1066" s="47">
        <f t="shared" si="430"/>
        <v>0</v>
      </c>
      <c r="I1066" s="47">
        <f t="shared" si="430"/>
        <v>0</v>
      </c>
      <c r="J1066" s="47">
        <f t="shared" si="430"/>
        <v>0</v>
      </c>
      <c r="K1066" s="52">
        <f t="shared" si="413"/>
        <v>1.5979116415180803</v>
      </c>
      <c r="L1066" s="53"/>
      <c r="M1066" s="50"/>
      <c r="N1066" s="51"/>
      <c r="O1066" s="701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  <c r="AC1066" s="65"/>
      <c r="AD1066" s="65"/>
      <c r="AE1066" s="65"/>
      <c r="AF1066" s="65"/>
      <c r="AG1066" s="65"/>
      <c r="AH1066" s="65"/>
      <c r="AI1066" s="65"/>
      <c r="AJ1066" s="65"/>
      <c r="AK1066" s="65"/>
      <c r="AL1066" s="65"/>
      <c r="AM1066" s="65"/>
      <c r="AN1066" s="65"/>
      <c r="AO1066" s="65"/>
      <c r="AP1066" s="65"/>
      <c r="AQ1066" s="65"/>
      <c r="AR1066" s="65"/>
      <c r="AS1066" s="65"/>
      <c r="AT1066" s="65"/>
      <c r="AU1066" s="65"/>
      <c r="AV1066" s="65"/>
      <c r="AW1066" s="65"/>
      <c r="AX1066" s="65"/>
      <c r="AY1066" s="65"/>
      <c r="AZ1066" s="65"/>
      <c r="BA1066" s="65"/>
      <c r="BB1066" s="65"/>
      <c r="BC1066" s="65"/>
      <c r="BD1066" s="65"/>
      <c r="BE1066" s="66"/>
    </row>
    <row r="1067" spans="1:57" s="48" customFormat="1" x14ac:dyDescent="0.2">
      <c r="A1067" s="704"/>
      <c r="B1067" s="706"/>
      <c r="C1067" s="648"/>
      <c r="D1067" s="470">
        <v>2019</v>
      </c>
      <c r="E1067" s="567">
        <f t="shared" ref="E1067:E1072" si="431">F1067+G1067+H1067+I1067+J1067</f>
        <v>0.05</v>
      </c>
      <c r="F1067" s="567">
        <v>0.05</v>
      </c>
      <c r="G1067" s="567">
        <v>0</v>
      </c>
      <c r="H1067" s="567">
        <v>0</v>
      </c>
      <c r="I1067" s="567">
        <v>0</v>
      </c>
      <c r="J1067" s="567">
        <v>0</v>
      </c>
      <c r="K1067" s="52">
        <f t="shared" si="413"/>
        <v>0.05</v>
      </c>
      <c r="L1067" s="53"/>
      <c r="M1067" s="50"/>
      <c r="N1067" s="51"/>
      <c r="O1067" s="701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  <c r="AO1067" s="65"/>
      <c r="AP1067" s="65"/>
      <c r="AQ1067" s="65"/>
      <c r="AR1067" s="65"/>
      <c r="AS1067" s="65"/>
      <c r="AT1067" s="65"/>
      <c r="AU1067" s="65"/>
      <c r="AV1067" s="65"/>
      <c r="AW1067" s="65"/>
      <c r="AX1067" s="65"/>
      <c r="AY1067" s="65"/>
      <c r="AZ1067" s="65"/>
      <c r="BA1067" s="65"/>
      <c r="BB1067" s="65"/>
      <c r="BC1067" s="65"/>
      <c r="BD1067" s="65"/>
      <c r="BE1067" s="66"/>
    </row>
    <row r="1068" spans="1:57" s="48" customFormat="1" x14ac:dyDescent="0.2">
      <c r="A1068" s="704"/>
      <c r="B1068" s="706"/>
      <c r="C1068" s="648"/>
      <c r="D1068" s="470">
        <v>2020</v>
      </c>
      <c r="E1068" s="567">
        <f t="shared" si="431"/>
        <v>0</v>
      </c>
      <c r="F1068" s="567">
        <v>0</v>
      </c>
      <c r="G1068" s="567">
        <v>0</v>
      </c>
      <c r="H1068" s="567">
        <v>0</v>
      </c>
      <c r="I1068" s="567">
        <v>0</v>
      </c>
      <c r="J1068" s="567">
        <v>0</v>
      </c>
      <c r="K1068" s="52">
        <f t="shared" si="413"/>
        <v>0</v>
      </c>
      <c r="L1068" s="53"/>
      <c r="M1068" s="50"/>
      <c r="N1068" s="51"/>
      <c r="O1068" s="701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65"/>
      <c r="AP1068" s="65"/>
      <c r="AQ1068" s="65"/>
      <c r="AR1068" s="65"/>
      <c r="AS1068" s="65"/>
      <c r="AT1068" s="65"/>
      <c r="AU1068" s="65"/>
      <c r="AV1068" s="65"/>
      <c r="AW1068" s="65"/>
      <c r="AX1068" s="65"/>
      <c r="AY1068" s="65"/>
      <c r="AZ1068" s="65"/>
      <c r="BA1068" s="65"/>
      <c r="BB1068" s="65"/>
      <c r="BC1068" s="65"/>
      <c r="BD1068" s="65"/>
      <c r="BE1068" s="66"/>
    </row>
    <row r="1069" spans="1:57" s="48" customFormat="1" x14ac:dyDescent="0.2">
      <c r="A1069" s="704"/>
      <c r="B1069" s="706"/>
      <c r="C1069" s="648"/>
      <c r="D1069" s="470">
        <v>2021</v>
      </c>
      <c r="E1069" s="567">
        <f t="shared" si="431"/>
        <v>0</v>
      </c>
      <c r="F1069" s="567">
        <v>0</v>
      </c>
      <c r="G1069" s="567">
        <v>0</v>
      </c>
      <c r="H1069" s="567">
        <v>0</v>
      </c>
      <c r="I1069" s="567">
        <v>0</v>
      </c>
      <c r="J1069" s="567">
        <v>0</v>
      </c>
      <c r="K1069" s="52">
        <f t="shared" si="413"/>
        <v>0</v>
      </c>
      <c r="L1069" s="53"/>
      <c r="M1069" s="50"/>
      <c r="N1069" s="51"/>
      <c r="O1069" s="701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  <c r="AC1069" s="65"/>
      <c r="AD1069" s="65"/>
      <c r="AE1069" s="65"/>
      <c r="AF1069" s="65"/>
      <c r="AG1069" s="65"/>
      <c r="AH1069" s="65"/>
      <c r="AI1069" s="65"/>
      <c r="AJ1069" s="65"/>
      <c r="AK1069" s="65"/>
      <c r="AL1069" s="65"/>
      <c r="AM1069" s="65"/>
      <c r="AN1069" s="65"/>
      <c r="AO1069" s="65"/>
      <c r="AP1069" s="65"/>
      <c r="AQ1069" s="65"/>
      <c r="AR1069" s="65"/>
      <c r="AS1069" s="65"/>
      <c r="AT1069" s="65"/>
      <c r="AU1069" s="65"/>
      <c r="AV1069" s="65"/>
      <c r="AW1069" s="65"/>
      <c r="AX1069" s="65"/>
      <c r="AY1069" s="65"/>
      <c r="AZ1069" s="65"/>
      <c r="BA1069" s="65"/>
      <c r="BB1069" s="65"/>
      <c r="BC1069" s="65"/>
      <c r="BD1069" s="65"/>
      <c r="BE1069" s="66"/>
    </row>
    <row r="1070" spans="1:57" s="48" customFormat="1" x14ac:dyDescent="0.2">
      <c r="A1070" s="704"/>
      <c r="B1070" s="706"/>
      <c r="C1070" s="648"/>
      <c r="D1070" s="470">
        <v>2022</v>
      </c>
      <c r="E1070" s="567">
        <f t="shared" si="431"/>
        <v>0</v>
      </c>
      <c r="F1070" s="567">
        <v>0</v>
      </c>
      <c r="G1070" s="567">
        <v>0</v>
      </c>
      <c r="H1070" s="567">
        <v>0</v>
      </c>
      <c r="I1070" s="567">
        <v>0</v>
      </c>
      <c r="J1070" s="567">
        <v>0</v>
      </c>
      <c r="K1070" s="52">
        <f t="shared" si="413"/>
        <v>0</v>
      </c>
      <c r="L1070" s="53"/>
      <c r="M1070" s="50"/>
      <c r="N1070" s="51"/>
      <c r="O1070" s="701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  <c r="AC1070" s="65"/>
      <c r="AD1070" s="65"/>
      <c r="AE1070" s="65"/>
      <c r="AF1070" s="65"/>
      <c r="AG1070" s="65"/>
      <c r="AH1070" s="65"/>
      <c r="AI1070" s="65"/>
      <c r="AJ1070" s="65"/>
      <c r="AK1070" s="65"/>
      <c r="AL1070" s="65"/>
      <c r="AM1070" s="65"/>
      <c r="AN1070" s="65"/>
      <c r="AO1070" s="65"/>
      <c r="AP1070" s="65"/>
      <c r="AQ1070" s="65"/>
      <c r="AR1070" s="65"/>
      <c r="AS1070" s="65"/>
      <c r="AT1070" s="65"/>
      <c r="AU1070" s="65"/>
      <c r="AV1070" s="65"/>
      <c r="AW1070" s="65"/>
      <c r="AX1070" s="65"/>
      <c r="AY1070" s="65"/>
      <c r="AZ1070" s="65"/>
      <c r="BA1070" s="65"/>
      <c r="BB1070" s="65"/>
      <c r="BC1070" s="65"/>
      <c r="BD1070" s="65"/>
      <c r="BE1070" s="66"/>
    </row>
    <row r="1071" spans="1:57" s="48" customFormat="1" x14ac:dyDescent="0.2">
      <c r="A1071" s="704"/>
      <c r="B1071" s="706"/>
      <c r="C1071" s="648"/>
      <c r="D1071" s="470">
        <v>2023</v>
      </c>
      <c r="E1071" s="567">
        <f t="shared" si="431"/>
        <v>0.16800000000000001</v>
      </c>
      <c r="F1071" s="567">
        <v>0.16800000000000001</v>
      </c>
      <c r="G1071" s="567">
        <v>0</v>
      </c>
      <c r="H1071" s="567">
        <v>0</v>
      </c>
      <c r="I1071" s="567">
        <v>0</v>
      </c>
      <c r="J1071" s="567">
        <v>0</v>
      </c>
      <c r="K1071" s="52">
        <f t="shared" si="413"/>
        <v>0.16800000000000001</v>
      </c>
      <c r="L1071" s="53"/>
      <c r="M1071" s="50"/>
      <c r="N1071" s="51"/>
      <c r="O1071" s="701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  <c r="AE1071" s="65"/>
      <c r="AF1071" s="65"/>
      <c r="AG1071" s="65"/>
      <c r="AH1071" s="65"/>
      <c r="AI1071" s="65"/>
      <c r="AJ1071" s="65"/>
      <c r="AK1071" s="65"/>
      <c r="AL1071" s="65"/>
      <c r="AM1071" s="65"/>
      <c r="AN1071" s="65"/>
      <c r="AO1071" s="65"/>
      <c r="AP1071" s="65"/>
      <c r="AQ1071" s="65"/>
      <c r="AR1071" s="65"/>
      <c r="AS1071" s="65"/>
      <c r="AT1071" s="65"/>
      <c r="AU1071" s="65"/>
      <c r="AV1071" s="65"/>
      <c r="AW1071" s="65"/>
      <c r="AX1071" s="65"/>
      <c r="AY1071" s="65"/>
      <c r="AZ1071" s="65"/>
      <c r="BA1071" s="65"/>
      <c r="BB1071" s="65"/>
      <c r="BC1071" s="65"/>
      <c r="BD1071" s="65"/>
      <c r="BE1071" s="66"/>
    </row>
    <row r="1072" spans="1:57" s="48" customFormat="1" x14ac:dyDescent="0.2">
      <c r="A1072" s="704"/>
      <c r="B1072" s="706"/>
      <c r="C1072" s="648"/>
      <c r="D1072" s="470">
        <v>2024</v>
      </c>
      <c r="E1072" s="567">
        <f t="shared" si="431"/>
        <v>0.17469999999999999</v>
      </c>
      <c r="F1072" s="567">
        <v>0.17469999999999999</v>
      </c>
      <c r="G1072" s="567">
        <v>0</v>
      </c>
      <c r="H1072" s="567">
        <v>0</v>
      </c>
      <c r="I1072" s="567">
        <v>0</v>
      </c>
      <c r="J1072" s="567">
        <v>0</v>
      </c>
      <c r="K1072" s="52">
        <f t="shared" si="413"/>
        <v>0.17469999999999999</v>
      </c>
      <c r="L1072" s="53"/>
      <c r="M1072" s="50"/>
      <c r="N1072" s="51"/>
      <c r="O1072" s="701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  <c r="AC1072" s="65"/>
      <c r="AD1072" s="65"/>
      <c r="AE1072" s="65"/>
      <c r="AF1072" s="65"/>
      <c r="AG1072" s="65"/>
      <c r="AH1072" s="65"/>
      <c r="AI1072" s="65"/>
      <c r="AJ1072" s="65"/>
      <c r="AK1072" s="65"/>
      <c r="AL1072" s="65"/>
      <c r="AM1072" s="65"/>
      <c r="AN1072" s="65"/>
      <c r="AO1072" s="65"/>
      <c r="AP1072" s="65"/>
      <c r="AQ1072" s="65"/>
      <c r="AR1072" s="65"/>
      <c r="AS1072" s="65"/>
      <c r="AT1072" s="65"/>
      <c r="AU1072" s="65"/>
      <c r="AV1072" s="65"/>
      <c r="AW1072" s="65"/>
      <c r="AX1072" s="65"/>
      <c r="AY1072" s="65"/>
      <c r="AZ1072" s="65"/>
      <c r="BA1072" s="65"/>
      <c r="BB1072" s="65"/>
      <c r="BC1072" s="65"/>
      <c r="BD1072" s="65"/>
      <c r="BE1072" s="66"/>
    </row>
    <row r="1073" spans="1:57" s="48" customFormat="1" x14ac:dyDescent="0.2">
      <c r="A1073" s="704"/>
      <c r="B1073" s="706"/>
      <c r="C1073" s="632"/>
      <c r="D1073" s="470">
        <v>2025</v>
      </c>
      <c r="E1073" s="567">
        <f>F1073+G1073+H1073+I1073+J1073</f>
        <v>0.1817</v>
      </c>
      <c r="F1073" s="567">
        <v>0.1817</v>
      </c>
      <c r="G1073" s="567">
        <v>0</v>
      </c>
      <c r="H1073" s="567">
        <v>0</v>
      </c>
      <c r="I1073" s="567">
        <v>0</v>
      </c>
      <c r="J1073" s="567">
        <v>0</v>
      </c>
      <c r="K1073" s="52">
        <f t="shared" si="413"/>
        <v>0.1817</v>
      </c>
      <c r="L1073" s="53"/>
      <c r="M1073" s="50"/>
      <c r="N1073" s="51"/>
      <c r="O1073" s="701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  <c r="AC1073" s="65"/>
      <c r="AD1073" s="65"/>
      <c r="AE1073" s="65"/>
      <c r="AF1073" s="65"/>
      <c r="AG1073" s="65"/>
      <c r="AH1073" s="65"/>
      <c r="AI1073" s="65"/>
      <c r="AJ1073" s="65"/>
      <c r="AK1073" s="65"/>
      <c r="AL1073" s="65"/>
      <c r="AM1073" s="65"/>
      <c r="AN1073" s="65"/>
      <c r="AO1073" s="65"/>
      <c r="AP1073" s="65"/>
      <c r="AQ1073" s="65"/>
      <c r="AR1073" s="65"/>
      <c r="AS1073" s="65"/>
      <c r="AT1073" s="65"/>
      <c r="AU1073" s="65"/>
      <c r="AV1073" s="65"/>
      <c r="AW1073" s="65"/>
      <c r="AX1073" s="65"/>
      <c r="AY1073" s="65"/>
      <c r="AZ1073" s="65"/>
      <c r="BA1073" s="65"/>
      <c r="BB1073" s="65"/>
      <c r="BC1073" s="65"/>
      <c r="BD1073" s="65"/>
      <c r="BE1073" s="66"/>
    </row>
    <row r="1074" spans="1:57" s="48" customFormat="1" ht="12.75" customHeight="1" x14ac:dyDescent="0.2">
      <c r="A1074" s="501"/>
      <c r="B1074" s="503"/>
      <c r="C1074" s="631" t="s">
        <v>979</v>
      </c>
      <c r="D1074" s="470">
        <v>2026</v>
      </c>
      <c r="E1074" s="567">
        <f t="shared" ref="E1074:E1078" si="432">F1074+G1074+H1074+I1074+J1074</f>
        <v>0.188968</v>
      </c>
      <c r="F1074" s="567">
        <f>F1073*1.04</f>
        <v>0.188968</v>
      </c>
      <c r="G1074" s="567">
        <f t="shared" ref="G1074:J1078" si="433">G1073*1.04</f>
        <v>0</v>
      </c>
      <c r="H1074" s="567">
        <f t="shared" si="433"/>
        <v>0</v>
      </c>
      <c r="I1074" s="567">
        <f t="shared" si="433"/>
        <v>0</v>
      </c>
      <c r="J1074" s="567">
        <f t="shared" si="433"/>
        <v>0</v>
      </c>
      <c r="K1074" s="52">
        <f t="shared" si="413"/>
        <v>0.188968</v>
      </c>
      <c r="L1074" s="53"/>
      <c r="M1074" s="50"/>
      <c r="N1074" s="51"/>
      <c r="O1074" s="701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  <c r="AC1074" s="65"/>
      <c r="AD1074" s="65"/>
      <c r="AE1074" s="65"/>
      <c r="AF1074" s="65"/>
      <c r="AG1074" s="65"/>
      <c r="AH1074" s="65"/>
      <c r="AI1074" s="65"/>
      <c r="AJ1074" s="65"/>
      <c r="AK1074" s="65"/>
      <c r="AL1074" s="65"/>
      <c r="AM1074" s="65"/>
      <c r="AN1074" s="65"/>
      <c r="AO1074" s="65"/>
      <c r="AP1074" s="65"/>
      <c r="AQ1074" s="65"/>
      <c r="AR1074" s="65"/>
      <c r="AS1074" s="65"/>
      <c r="AT1074" s="65"/>
      <c r="AU1074" s="65"/>
      <c r="AV1074" s="65"/>
      <c r="AW1074" s="65"/>
      <c r="AX1074" s="65"/>
      <c r="AY1074" s="65"/>
      <c r="AZ1074" s="65"/>
      <c r="BA1074" s="65"/>
      <c r="BB1074" s="65"/>
      <c r="BC1074" s="65"/>
      <c r="BD1074" s="65"/>
      <c r="BE1074" s="66"/>
    </row>
    <row r="1075" spans="1:57" s="48" customFormat="1" x14ac:dyDescent="0.2">
      <c r="A1075" s="501"/>
      <c r="B1075" s="503"/>
      <c r="C1075" s="648"/>
      <c r="D1075" s="470">
        <v>2027</v>
      </c>
      <c r="E1075" s="567">
        <f t="shared" si="432"/>
        <v>0.19652672000000002</v>
      </c>
      <c r="F1075" s="567">
        <f>F1074*1.04</f>
        <v>0.19652672000000002</v>
      </c>
      <c r="G1075" s="567">
        <f t="shared" si="433"/>
        <v>0</v>
      </c>
      <c r="H1075" s="567">
        <f t="shared" si="433"/>
        <v>0</v>
      </c>
      <c r="I1075" s="567">
        <f t="shared" si="433"/>
        <v>0</v>
      </c>
      <c r="J1075" s="567">
        <f t="shared" si="433"/>
        <v>0</v>
      </c>
      <c r="K1075" s="52">
        <f t="shared" si="413"/>
        <v>0.19652672000000002</v>
      </c>
      <c r="L1075" s="53"/>
      <c r="M1075" s="50"/>
      <c r="N1075" s="51"/>
      <c r="O1075" s="701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  <c r="AC1075" s="65"/>
      <c r="AD1075" s="65"/>
      <c r="AE1075" s="65"/>
      <c r="AF1075" s="65"/>
      <c r="AG1075" s="65"/>
      <c r="AH1075" s="65"/>
      <c r="AI1075" s="65"/>
      <c r="AJ1075" s="65"/>
      <c r="AK1075" s="65"/>
      <c r="AL1075" s="65"/>
      <c r="AM1075" s="65"/>
      <c r="AN1075" s="65"/>
      <c r="AO1075" s="65"/>
      <c r="AP1075" s="65"/>
      <c r="AQ1075" s="65"/>
      <c r="AR1075" s="65"/>
      <c r="AS1075" s="65"/>
      <c r="AT1075" s="65"/>
      <c r="AU1075" s="65"/>
      <c r="AV1075" s="65"/>
      <c r="AW1075" s="65"/>
      <c r="AX1075" s="65"/>
      <c r="AY1075" s="65"/>
      <c r="AZ1075" s="65"/>
      <c r="BA1075" s="65"/>
      <c r="BB1075" s="65"/>
      <c r="BC1075" s="65"/>
      <c r="BD1075" s="65"/>
      <c r="BE1075" s="66"/>
    </row>
    <row r="1076" spans="1:57" s="48" customFormat="1" x14ac:dyDescent="0.2">
      <c r="A1076" s="501"/>
      <c r="B1076" s="503"/>
      <c r="C1076" s="648"/>
      <c r="D1076" s="470">
        <v>2028</v>
      </c>
      <c r="E1076" s="567">
        <f t="shared" si="432"/>
        <v>0.20438778880000003</v>
      </c>
      <c r="F1076" s="567">
        <f>F1075*1.04</f>
        <v>0.20438778880000003</v>
      </c>
      <c r="G1076" s="567">
        <f t="shared" si="433"/>
        <v>0</v>
      </c>
      <c r="H1076" s="567">
        <f t="shared" si="433"/>
        <v>0</v>
      </c>
      <c r="I1076" s="567">
        <f t="shared" si="433"/>
        <v>0</v>
      </c>
      <c r="J1076" s="567">
        <f t="shared" si="433"/>
        <v>0</v>
      </c>
      <c r="K1076" s="52">
        <f t="shared" si="413"/>
        <v>0.20438778880000003</v>
      </c>
      <c r="L1076" s="53"/>
      <c r="M1076" s="50"/>
      <c r="N1076" s="51"/>
      <c r="O1076" s="701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  <c r="AC1076" s="65"/>
      <c r="AD1076" s="65"/>
      <c r="AE1076" s="65"/>
      <c r="AF1076" s="65"/>
      <c r="AG1076" s="65"/>
      <c r="AH1076" s="65"/>
      <c r="AI1076" s="65"/>
      <c r="AJ1076" s="65"/>
      <c r="AK1076" s="65"/>
      <c r="AL1076" s="65"/>
      <c r="AM1076" s="65"/>
      <c r="AN1076" s="65"/>
      <c r="AO1076" s="65"/>
      <c r="AP1076" s="65"/>
      <c r="AQ1076" s="65"/>
      <c r="AR1076" s="65"/>
      <c r="AS1076" s="65"/>
      <c r="AT1076" s="65"/>
      <c r="AU1076" s="65"/>
      <c r="AV1076" s="65"/>
      <c r="AW1076" s="65"/>
      <c r="AX1076" s="65"/>
      <c r="AY1076" s="65"/>
      <c r="AZ1076" s="65"/>
      <c r="BA1076" s="65"/>
      <c r="BB1076" s="65"/>
      <c r="BC1076" s="65"/>
      <c r="BD1076" s="65"/>
      <c r="BE1076" s="66"/>
    </row>
    <row r="1077" spans="1:57" s="48" customFormat="1" x14ac:dyDescent="0.2">
      <c r="A1077" s="501"/>
      <c r="B1077" s="503"/>
      <c r="C1077" s="648"/>
      <c r="D1077" s="470">
        <v>2029</v>
      </c>
      <c r="E1077" s="567">
        <f t="shared" si="432"/>
        <v>0.21256330035200002</v>
      </c>
      <c r="F1077" s="567">
        <f>F1076*1.04</f>
        <v>0.21256330035200002</v>
      </c>
      <c r="G1077" s="567">
        <f t="shared" si="433"/>
        <v>0</v>
      </c>
      <c r="H1077" s="567">
        <f t="shared" si="433"/>
        <v>0</v>
      </c>
      <c r="I1077" s="567">
        <f t="shared" si="433"/>
        <v>0</v>
      </c>
      <c r="J1077" s="567">
        <f t="shared" si="433"/>
        <v>0</v>
      </c>
      <c r="K1077" s="52">
        <f t="shared" si="413"/>
        <v>0.21256330035200002</v>
      </c>
      <c r="L1077" s="53"/>
      <c r="M1077" s="50"/>
      <c r="N1077" s="51"/>
      <c r="O1077" s="701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  <c r="AC1077" s="65"/>
      <c r="AD1077" s="65"/>
      <c r="AE1077" s="65"/>
      <c r="AF1077" s="65"/>
      <c r="AG1077" s="65"/>
      <c r="AH1077" s="65"/>
      <c r="AI1077" s="65"/>
      <c r="AJ1077" s="65"/>
      <c r="AK1077" s="65"/>
      <c r="AL1077" s="65"/>
      <c r="AM1077" s="65"/>
      <c r="AN1077" s="65"/>
      <c r="AO1077" s="65"/>
      <c r="AP1077" s="65"/>
      <c r="AQ1077" s="65"/>
      <c r="AR1077" s="65"/>
      <c r="AS1077" s="65"/>
      <c r="AT1077" s="65"/>
      <c r="AU1077" s="65"/>
      <c r="AV1077" s="65"/>
      <c r="AW1077" s="65"/>
      <c r="AX1077" s="65"/>
      <c r="AY1077" s="65"/>
      <c r="AZ1077" s="65"/>
      <c r="BA1077" s="65"/>
      <c r="BB1077" s="65"/>
      <c r="BC1077" s="65"/>
      <c r="BD1077" s="65"/>
      <c r="BE1077" s="66"/>
    </row>
    <row r="1078" spans="1:57" s="48" customFormat="1" x14ac:dyDescent="0.2">
      <c r="A1078" s="501"/>
      <c r="B1078" s="503"/>
      <c r="C1078" s="648"/>
      <c r="D1078" s="470">
        <v>2030</v>
      </c>
      <c r="E1078" s="567">
        <f t="shared" si="432"/>
        <v>0.22106583236608005</v>
      </c>
      <c r="F1078" s="567">
        <f>F1077*1.04</f>
        <v>0.22106583236608005</v>
      </c>
      <c r="G1078" s="567">
        <f t="shared" si="433"/>
        <v>0</v>
      </c>
      <c r="H1078" s="567">
        <f t="shared" si="433"/>
        <v>0</v>
      </c>
      <c r="I1078" s="567">
        <f t="shared" si="433"/>
        <v>0</v>
      </c>
      <c r="J1078" s="567">
        <f t="shared" si="433"/>
        <v>0</v>
      </c>
      <c r="K1078" s="52">
        <f t="shared" si="413"/>
        <v>0.22106583236608005</v>
      </c>
      <c r="L1078" s="53"/>
      <c r="M1078" s="50"/>
      <c r="N1078" s="51"/>
      <c r="O1078" s="701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  <c r="AC1078" s="65"/>
      <c r="AD1078" s="65"/>
      <c r="AE1078" s="65"/>
      <c r="AF1078" s="65"/>
      <c r="AG1078" s="65"/>
      <c r="AH1078" s="65"/>
      <c r="AI1078" s="65"/>
      <c r="AJ1078" s="65"/>
      <c r="AK1078" s="65"/>
      <c r="AL1078" s="65"/>
      <c r="AM1078" s="65"/>
      <c r="AN1078" s="65"/>
      <c r="AO1078" s="65"/>
      <c r="AP1078" s="65"/>
      <c r="AQ1078" s="65"/>
      <c r="AR1078" s="65"/>
      <c r="AS1078" s="65"/>
      <c r="AT1078" s="65"/>
      <c r="AU1078" s="65"/>
      <c r="AV1078" s="65"/>
      <c r="AW1078" s="65"/>
      <c r="AX1078" s="65"/>
      <c r="AY1078" s="65"/>
      <c r="AZ1078" s="65"/>
      <c r="BA1078" s="65"/>
      <c r="BB1078" s="65"/>
      <c r="BC1078" s="65"/>
      <c r="BD1078" s="65"/>
      <c r="BE1078" s="66"/>
    </row>
    <row r="1079" spans="1:57" s="48" customFormat="1" ht="12.75" customHeight="1" x14ac:dyDescent="0.2">
      <c r="A1079" s="675" t="s">
        <v>767</v>
      </c>
      <c r="B1079" s="707" t="s">
        <v>562</v>
      </c>
      <c r="C1079" s="631" t="s">
        <v>979</v>
      </c>
      <c r="D1079" s="46" t="s">
        <v>198</v>
      </c>
      <c r="E1079" s="567">
        <f>E1080+E1081+E1082+E1083</f>
        <v>6</v>
      </c>
      <c r="F1079" s="567">
        <f t="shared" ref="F1079:J1079" si="434">F1080+F1081+F1082+F1083</f>
        <v>6</v>
      </c>
      <c r="G1079" s="567">
        <f t="shared" si="434"/>
        <v>0</v>
      </c>
      <c r="H1079" s="567">
        <f t="shared" si="434"/>
        <v>0</v>
      </c>
      <c r="I1079" s="567">
        <f t="shared" si="434"/>
        <v>0</v>
      </c>
      <c r="J1079" s="567">
        <f t="shared" si="434"/>
        <v>0</v>
      </c>
      <c r="K1079" s="52">
        <f t="shared" si="413"/>
        <v>6</v>
      </c>
      <c r="L1079" s="53"/>
      <c r="M1079" s="50"/>
      <c r="N1079" s="51"/>
      <c r="O1079" s="701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  <c r="AB1079" s="65"/>
      <c r="AC1079" s="65"/>
      <c r="AD1079" s="65"/>
      <c r="AE1079" s="65"/>
      <c r="AF1079" s="65"/>
      <c r="AG1079" s="65"/>
      <c r="AH1079" s="65"/>
      <c r="AI1079" s="65"/>
      <c r="AJ1079" s="65"/>
      <c r="AK1079" s="65"/>
      <c r="AL1079" s="65"/>
      <c r="AM1079" s="65"/>
      <c r="AN1079" s="65"/>
      <c r="AO1079" s="65"/>
      <c r="AP1079" s="65"/>
      <c r="AQ1079" s="65"/>
      <c r="AR1079" s="65"/>
      <c r="AS1079" s="65"/>
      <c r="AT1079" s="65"/>
      <c r="AU1079" s="65"/>
      <c r="AV1079" s="65"/>
      <c r="AW1079" s="65"/>
      <c r="AX1079" s="65"/>
      <c r="AY1079" s="65"/>
      <c r="AZ1079" s="65"/>
      <c r="BA1079" s="65"/>
      <c r="BB1079" s="65"/>
      <c r="BC1079" s="65"/>
      <c r="BD1079" s="65"/>
      <c r="BE1079" s="66"/>
    </row>
    <row r="1080" spans="1:57" s="48" customFormat="1" x14ac:dyDescent="0.2">
      <c r="A1080" s="676"/>
      <c r="B1080" s="708"/>
      <c r="C1080" s="648"/>
      <c r="D1080" s="470">
        <v>2026</v>
      </c>
      <c r="E1080" s="567">
        <f>E1085</f>
        <v>1.5</v>
      </c>
      <c r="F1080" s="567">
        <f t="shared" ref="F1080:J1080" si="435">F1085</f>
        <v>1.5</v>
      </c>
      <c r="G1080" s="567">
        <f t="shared" si="435"/>
        <v>0</v>
      </c>
      <c r="H1080" s="567">
        <f t="shared" si="435"/>
        <v>0</v>
      </c>
      <c r="I1080" s="567">
        <f t="shared" si="435"/>
        <v>0</v>
      </c>
      <c r="J1080" s="567">
        <f t="shared" si="435"/>
        <v>0</v>
      </c>
      <c r="K1080" s="52">
        <f t="shared" si="413"/>
        <v>1.5</v>
      </c>
      <c r="L1080" s="53"/>
      <c r="M1080" s="50"/>
      <c r="N1080" s="51"/>
      <c r="O1080" s="701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  <c r="AB1080" s="65"/>
      <c r="AC1080" s="65"/>
      <c r="AD1080" s="65"/>
      <c r="AE1080" s="65"/>
      <c r="AF1080" s="65"/>
      <c r="AG1080" s="65"/>
      <c r="AH1080" s="65"/>
      <c r="AI1080" s="65"/>
      <c r="AJ1080" s="65"/>
      <c r="AK1080" s="65"/>
      <c r="AL1080" s="65"/>
      <c r="AM1080" s="65"/>
      <c r="AN1080" s="65"/>
      <c r="AO1080" s="65"/>
      <c r="AP1080" s="65"/>
      <c r="AQ1080" s="65"/>
      <c r="AR1080" s="65"/>
      <c r="AS1080" s="65"/>
      <c r="AT1080" s="65"/>
      <c r="AU1080" s="65"/>
      <c r="AV1080" s="65"/>
      <c r="AW1080" s="65"/>
      <c r="AX1080" s="65"/>
      <c r="AY1080" s="65"/>
      <c r="AZ1080" s="65"/>
      <c r="BA1080" s="65"/>
      <c r="BB1080" s="65"/>
      <c r="BC1080" s="65"/>
      <c r="BD1080" s="65"/>
      <c r="BE1080" s="66"/>
    </row>
    <row r="1081" spans="1:57" s="48" customFormat="1" x14ac:dyDescent="0.2">
      <c r="A1081" s="676"/>
      <c r="B1081" s="708"/>
      <c r="C1081" s="648"/>
      <c r="D1081" s="60">
        <v>2027</v>
      </c>
      <c r="E1081" s="567">
        <f>E1091</f>
        <v>1.5</v>
      </c>
      <c r="F1081" s="567">
        <f t="shared" ref="F1081:J1081" si="436">F1091</f>
        <v>1.5</v>
      </c>
      <c r="G1081" s="567">
        <f t="shared" si="436"/>
        <v>0</v>
      </c>
      <c r="H1081" s="567">
        <f t="shared" si="436"/>
        <v>0</v>
      </c>
      <c r="I1081" s="567">
        <f t="shared" si="436"/>
        <v>0</v>
      </c>
      <c r="J1081" s="567">
        <f t="shared" si="436"/>
        <v>0</v>
      </c>
      <c r="K1081" s="52">
        <f t="shared" si="413"/>
        <v>1.5</v>
      </c>
      <c r="L1081" s="53"/>
      <c r="M1081" s="50"/>
      <c r="N1081" s="51"/>
      <c r="O1081" s="701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  <c r="AB1081" s="65"/>
      <c r="AC1081" s="65"/>
      <c r="AD1081" s="65"/>
      <c r="AE1081" s="65"/>
      <c r="AF1081" s="65"/>
      <c r="AG1081" s="65"/>
      <c r="AH1081" s="65"/>
      <c r="AI1081" s="65"/>
      <c r="AJ1081" s="65"/>
      <c r="AK1081" s="65"/>
      <c r="AL1081" s="65"/>
      <c r="AM1081" s="65"/>
      <c r="AN1081" s="65"/>
      <c r="AO1081" s="65"/>
      <c r="AP1081" s="65"/>
      <c r="AQ1081" s="65"/>
      <c r="AR1081" s="65"/>
      <c r="AS1081" s="65"/>
      <c r="AT1081" s="65"/>
      <c r="AU1081" s="65"/>
      <c r="AV1081" s="65"/>
      <c r="AW1081" s="65"/>
      <c r="AX1081" s="65"/>
      <c r="AY1081" s="65"/>
      <c r="AZ1081" s="65"/>
      <c r="BA1081" s="65"/>
      <c r="BB1081" s="65"/>
      <c r="BC1081" s="65"/>
      <c r="BD1081" s="65"/>
      <c r="BE1081" s="66"/>
    </row>
    <row r="1082" spans="1:57" s="48" customFormat="1" x14ac:dyDescent="0.2">
      <c r="A1082" s="676"/>
      <c r="B1082" s="708"/>
      <c r="C1082" s="648"/>
      <c r="D1082" s="470">
        <v>2028</v>
      </c>
      <c r="E1082" s="567">
        <f>E1089</f>
        <v>1.5</v>
      </c>
      <c r="F1082" s="567">
        <f t="shared" ref="F1082:J1082" si="437">F1089</f>
        <v>1.5</v>
      </c>
      <c r="G1082" s="567">
        <f t="shared" si="437"/>
        <v>0</v>
      </c>
      <c r="H1082" s="567">
        <f t="shared" si="437"/>
        <v>0</v>
      </c>
      <c r="I1082" s="567">
        <f t="shared" si="437"/>
        <v>0</v>
      </c>
      <c r="J1082" s="567">
        <f t="shared" si="437"/>
        <v>0</v>
      </c>
      <c r="K1082" s="52">
        <f t="shared" si="413"/>
        <v>1.5</v>
      </c>
      <c r="L1082" s="53"/>
      <c r="M1082" s="50"/>
      <c r="N1082" s="51"/>
      <c r="O1082" s="701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  <c r="AB1082" s="65"/>
      <c r="AC1082" s="65"/>
      <c r="AD1082" s="65"/>
      <c r="AE1082" s="65"/>
      <c r="AF1082" s="65"/>
      <c r="AG1082" s="65"/>
      <c r="AH1082" s="65"/>
      <c r="AI1082" s="65"/>
      <c r="AJ1082" s="65"/>
      <c r="AK1082" s="65"/>
      <c r="AL1082" s="65"/>
      <c r="AM1082" s="65"/>
      <c r="AN1082" s="65"/>
      <c r="AO1082" s="65"/>
      <c r="AP1082" s="65"/>
      <c r="AQ1082" s="65"/>
      <c r="AR1082" s="65"/>
      <c r="AS1082" s="65"/>
      <c r="AT1082" s="65"/>
      <c r="AU1082" s="65"/>
      <c r="AV1082" s="65"/>
      <c r="AW1082" s="65"/>
      <c r="AX1082" s="65"/>
      <c r="AY1082" s="65"/>
      <c r="AZ1082" s="65"/>
      <c r="BA1082" s="65"/>
      <c r="BB1082" s="65"/>
      <c r="BC1082" s="65"/>
      <c r="BD1082" s="65"/>
      <c r="BE1082" s="66"/>
    </row>
    <row r="1083" spans="1:57" s="48" customFormat="1" x14ac:dyDescent="0.2">
      <c r="A1083" s="677"/>
      <c r="B1083" s="709"/>
      <c r="C1083" s="648"/>
      <c r="D1083" s="470">
        <v>2029</v>
      </c>
      <c r="E1083" s="567">
        <f>E1087</f>
        <v>1.5</v>
      </c>
      <c r="F1083" s="567">
        <f t="shared" ref="F1083:J1083" si="438">F1087</f>
        <v>1.5</v>
      </c>
      <c r="G1083" s="567">
        <f t="shared" si="438"/>
        <v>0</v>
      </c>
      <c r="H1083" s="567">
        <f t="shared" si="438"/>
        <v>0</v>
      </c>
      <c r="I1083" s="567">
        <f t="shared" si="438"/>
        <v>0</v>
      </c>
      <c r="J1083" s="567">
        <f t="shared" si="438"/>
        <v>0</v>
      </c>
      <c r="K1083" s="52">
        <f t="shared" si="413"/>
        <v>1.5</v>
      </c>
      <c r="L1083" s="53"/>
      <c r="M1083" s="50"/>
      <c r="N1083" s="51"/>
      <c r="O1083" s="701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  <c r="AB1083" s="65"/>
      <c r="AC1083" s="65"/>
      <c r="AD1083" s="65"/>
      <c r="AE1083" s="65"/>
      <c r="AF1083" s="65"/>
      <c r="AG1083" s="65"/>
      <c r="AH1083" s="65"/>
      <c r="AI1083" s="65"/>
      <c r="AJ1083" s="65"/>
      <c r="AK1083" s="65"/>
      <c r="AL1083" s="65"/>
      <c r="AM1083" s="65"/>
      <c r="AN1083" s="65"/>
      <c r="AO1083" s="65"/>
      <c r="AP1083" s="65"/>
      <c r="AQ1083" s="65"/>
      <c r="AR1083" s="65"/>
      <c r="AS1083" s="65"/>
      <c r="AT1083" s="65"/>
      <c r="AU1083" s="65"/>
      <c r="AV1083" s="65"/>
      <c r="AW1083" s="65"/>
      <c r="AX1083" s="65"/>
      <c r="AY1083" s="65"/>
      <c r="AZ1083" s="65"/>
      <c r="BA1083" s="65"/>
      <c r="BB1083" s="65"/>
      <c r="BC1083" s="65"/>
      <c r="BD1083" s="65"/>
      <c r="BE1083" s="66"/>
    </row>
    <row r="1084" spans="1:57" s="48" customFormat="1" x14ac:dyDescent="0.2">
      <c r="A1084" s="675" t="s">
        <v>713</v>
      </c>
      <c r="B1084" s="707" t="s">
        <v>563</v>
      </c>
      <c r="C1084" s="648"/>
      <c r="D1084" s="46" t="s">
        <v>198</v>
      </c>
      <c r="E1084" s="567">
        <f>E1085</f>
        <v>1.5</v>
      </c>
      <c r="F1084" s="567">
        <f t="shared" ref="F1084:J1084" si="439">F1085</f>
        <v>1.5</v>
      </c>
      <c r="G1084" s="567">
        <f t="shared" si="439"/>
        <v>0</v>
      </c>
      <c r="H1084" s="567">
        <f t="shared" si="439"/>
        <v>0</v>
      </c>
      <c r="I1084" s="567">
        <f t="shared" si="439"/>
        <v>0</v>
      </c>
      <c r="J1084" s="567">
        <f t="shared" si="439"/>
        <v>0</v>
      </c>
      <c r="K1084" s="52">
        <f t="shared" si="413"/>
        <v>1.5</v>
      </c>
      <c r="L1084" s="53"/>
      <c r="M1084" s="50"/>
      <c r="N1084" s="51"/>
      <c r="O1084" s="701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  <c r="AB1084" s="65"/>
      <c r="AC1084" s="65"/>
      <c r="AD1084" s="65"/>
      <c r="AE1084" s="65"/>
      <c r="AF1084" s="65"/>
      <c r="AG1084" s="65"/>
      <c r="AH1084" s="65"/>
      <c r="AI1084" s="65"/>
      <c r="AJ1084" s="65"/>
      <c r="AK1084" s="65"/>
      <c r="AL1084" s="65"/>
      <c r="AM1084" s="65"/>
      <c r="AN1084" s="65"/>
      <c r="AO1084" s="65"/>
      <c r="AP1084" s="65"/>
      <c r="AQ1084" s="65"/>
      <c r="AR1084" s="65"/>
      <c r="AS1084" s="65"/>
      <c r="AT1084" s="65"/>
      <c r="AU1084" s="65"/>
      <c r="AV1084" s="65"/>
      <c r="AW1084" s="65"/>
      <c r="AX1084" s="65"/>
      <c r="AY1084" s="65"/>
      <c r="AZ1084" s="65"/>
      <c r="BA1084" s="65"/>
      <c r="BB1084" s="65"/>
      <c r="BC1084" s="65"/>
      <c r="BD1084" s="65"/>
      <c r="BE1084" s="66"/>
    </row>
    <row r="1085" spans="1:57" s="48" customFormat="1" x14ac:dyDescent="0.2">
      <c r="A1085" s="677"/>
      <c r="B1085" s="709"/>
      <c r="C1085" s="648"/>
      <c r="D1085" s="470">
        <v>2026</v>
      </c>
      <c r="E1085" s="567">
        <f>F1085</f>
        <v>1.5</v>
      </c>
      <c r="F1085" s="567">
        <v>1.5</v>
      </c>
      <c r="G1085" s="567">
        <v>0</v>
      </c>
      <c r="H1085" s="567">
        <v>0</v>
      </c>
      <c r="I1085" s="567">
        <v>0</v>
      </c>
      <c r="J1085" s="567">
        <v>0</v>
      </c>
      <c r="K1085" s="52">
        <f t="shared" si="413"/>
        <v>1.5</v>
      </c>
      <c r="L1085" s="53"/>
      <c r="M1085" s="50"/>
      <c r="N1085" s="51"/>
      <c r="O1085" s="701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  <c r="AB1085" s="65"/>
      <c r="AC1085" s="65"/>
      <c r="AD1085" s="65"/>
      <c r="AE1085" s="65"/>
      <c r="AF1085" s="65"/>
      <c r="AG1085" s="65"/>
      <c r="AH1085" s="65"/>
      <c r="AI1085" s="65"/>
      <c r="AJ1085" s="65"/>
      <c r="AK1085" s="65"/>
      <c r="AL1085" s="65"/>
      <c r="AM1085" s="65"/>
      <c r="AN1085" s="65"/>
      <c r="AO1085" s="65"/>
      <c r="AP1085" s="65"/>
      <c r="AQ1085" s="65"/>
      <c r="AR1085" s="65"/>
      <c r="AS1085" s="65"/>
      <c r="AT1085" s="65"/>
      <c r="AU1085" s="65"/>
      <c r="AV1085" s="65"/>
      <c r="AW1085" s="65"/>
      <c r="AX1085" s="65"/>
      <c r="AY1085" s="65"/>
      <c r="AZ1085" s="65"/>
      <c r="BA1085" s="65"/>
      <c r="BB1085" s="65"/>
      <c r="BC1085" s="65"/>
      <c r="BD1085" s="65"/>
      <c r="BE1085" s="66"/>
    </row>
    <row r="1086" spans="1:57" s="48" customFormat="1" x14ac:dyDescent="0.2">
      <c r="A1086" s="675" t="s">
        <v>768</v>
      </c>
      <c r="B1086" s="707" t="s">
        <v>564</v>
      </c>
      <c r="C1086" s="648"/>
      <c r="D1086" s="46" t="s">
        <v>198</v>
      </c>
      <c r="E1086" s="567">
        <f>E1087</f>
        <v>1.5</v>
      </c>
      <c r="F1086" s="567">
        <f t="shared" ref="F1086:J1086" si="440">F1087</f>
        <v>1.5</v>
      </c>
      <c r="G1086" s="567">
        <f t="shared" si="440"/>
        <v>0</v>
      </c>
      <c r="H1086" s="567">
        <f t="shared" si="440"/>
        <v>0</v>
      </c>
      <c r="I1086" s="567">
        <f t="shared" si="440"/>
        <v>0</v>
      </c>
      <c r="J1086" s="567">
        <f t="shared" si="440"/>
        <v>0</v>
      </c>
      <c r="K1086" s="52">
        <f t="shared" si="413"/>
        <v>1.5</v>
      </c>
      <c r="L1086" s="53"/>
      <c r="M1086" s="50"/>
      <c r="N1086" s="51"/>
      <c r="O1086" s="701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  <c r="AB1086" s="65"/>
      <c r="AC1086" s="65"/>
      <c r="AD1086" s="65"/>
      <c r="AE1086" s="65"/>
      <c r="AF1086" s="65"/>
      <c r="AG1086" s="65"/>
      <c r="AH1086" s="65"/>
      <c r="AI1086" s="65"/>
      <c r="AJ1086" s="65"/>
      <c r="AK1086" s="65"/>
      <c r="AL1086" s="65"/>
      <c r="AM1086" s="65"/>
      <c r="AN1086" s="65"/>
      <c r="AO1086" s="65"/>
      <c r="AP1086" s="65"/>
      <c r="AQ1086" s="65"/>
      <c r="AR1086" s="65"/>
      <c r="AS1086" s="65"/>
      <c r="AT1086" s="65"/>
      <c r="AU1086" s="65"/>
      <c r="AV1086" s="65"/>
      <c r="AW1086" s="65"/>
      <c r="AX1086" s="65"/>
      <c r="AY1086" s="65"/>
      <c r="AZ1086" s="65"/>
      <c r="BA1086" s="65"/>
      <c r="BB1086" s="65"/>
      <c r="BC1086" s="65"/>
      <c r="BD1086" s="65"/>
      <c r="BE1086" s="66"/>
    </row>
    <row r="1087" spans="1:57" s="48" customFormat="1" x14ac:dyDescent="0.2">
      <c r="A1087" s="677"/>
      <c r="B1087" s="709"/>
      <c r="C1087" s="648"/>
      <c r="D1087" s="470">
        <v>2029</v>
      </c>
      <c r="E1087" s="567">
        <f>F1087</f>
        <v>1.5</v>
      </c>
      <c r="F1087" s="567">
        <v>1.5</v>
      </c>
      <c r="G1087" s="567">
        <v>0</v>
      </c>
      <c r="H1087" s="567">
        <v>0</v>
      </c>
      <c r="I1087" s="567">
        <v>0</v>
      </c>
      <c r="J1087" s="567">
        <v>0</v>
      </c>
      <c r="K1087" s="52">
        <f t="shared" ref="K1087:K1149" si="441">F1087+G1087+H1087+I1087+J1087</f>
        <v>1.5</v>
      </c>
      <c r="L1087" s="53"/>
      <c r="M1087" s="50"/>
      <c r="N1087" s="51"/>
      <c r="O1087" s="701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  <c r="AB1087" s="65"/>
      <c r="AC1087" s="65"/>
      <c r="AD1087" s="65"/>
      <c r="AE1087" s="65"/>
      <c r="AF1087" s="65"/>
      <c r="AG1087" s="65"/>
      <c r="AH1087" s="65"/>
      <c r="AI1087" s="65"/>
      <c r="AJ1087" s="65"/>
      <c r="AK1087" s="65"/>
      <c r="AL1087" s="65"/>
      <c r="AM1087" s="65"/>
      <c r="AN1087" s="65"/>
      <c r="AO1087" s="65"/>
      <c r="AP1087" s="65"/>
      <c r="AQ1087" s="65"/>
      <c r="AR1087" s="65"/>
      <c r="AS1087" s="65"/>
      <c r="AT1087" s="65"/>
      <c r="AU1087" s="65"/>
      <c r="AV1087" s="65"/>
      <c r="AW1087" s="65"/>
      <c r="AX1087" s="65"/>
      <c r="AY1087" s="65"/>
      <c r="AZ1087" s="65"/>
      <c r="BA1087" s="65"/>
      <c r="BB1087" s="65"/>
      <c r="BC1087" s="65"/>
      <c r="BD1087" s="65"/>
      <c r="BE1087" s="66"/>
    </row>
    <row r="1088" spans="1:57" s="48" customFormat="1" x14ac:dyDescent="0.2">
      <c r="A1088" s="675" t="s">
        <v>769</v>
      </c>
      <c r="B1088" s="707" t="s">
        <v>565</v>
      </c>
      <c r="C1088" s="648"/>
      <c r="D1088" s="46" t="s">
        <v>198</v>
      </c>
      <c r="E1088" s="567">
        <f>E1089</f>
        <v>1.5</v>
      </c>
      <c r="F1088" s="567">
        <f t="shared" ref="F1088:J1088" si="442">F1089</f>
        <v>1.5</v>
      </c>
      <c r="G1088" s="567">
        <f t="shared" si="442"/>
        <v>0</v>
      </c>
      <c r="H1088" s="567">
        <f t="shared" si="442"/>
        <v>0</v>
      </c>
      <c r="I1088" s="567">
        <f t="shared" si="442"/>
        <v>0</v>
      </c>
      <c r="J1088" s="567">
        <f t="shared" si="442"/>
        <v>0</v>
      </c>
      <c r="K1088" s="52">
        <f t="shared" si="441"/>
        <v>1.5</v>
      </c>
      <c r="L1088" s="53"/>
      <c r="M1088" s="50"/>
      <c r="N1088" s="51"/>
      <c r="O1088" s="701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  <c r="AB1088" s="65"/>
      <c r="AC1088" s="65"/>
      <c r="AD1088" s="65"/>
      <c r="AE1088" s="65"/>
      <c r="AF1088" s="65"/>
      <c r="AG1088" s="65"/>
      <c r="AH1088" s="65"/>
      <c r="AI1088" s="65"/>
      <c r="AJ1088" s="65"/>
      <c r="AK1088" s="65"/>
      <c r="AL1088" s="65"/>
      <c r="AM1088" s="65"/>
      <c r="AN1088" s="65"/>
      <c r="AO1088" s="65"/>
      <c r="AP1088" s="65"/>
      <c r="AQ1088" s="65"/>
      <c r="AR1088" s="65"/>
      <c r="AS1088" s="65"/>
      <c r="AT1088" s="65"/>
      <c r="AU1088" s="65"/>
      <c r="AV1088" s="65"/>
      <c r="AW1088" s="65"/>
      <c r="AX1088" s="65"/>
      <c r="AY1088" s="65"/>
      <c r="AZ1088" s="65"/>
      <c r="BA1088" s="65"/>
      <c r="BB1088" s="65"/>
      <c r="BC1088" s="65"/>
      <c r="BD1088" s="65"/>
      <c r="BE1088" s="66"/>
    </row>
    <row r="1089" spans="1:57" s="48" customFormat="1" x14ac:dyDescent="0.2">
      <c r="A1089" s="677"/>
      <c r="B1089" s="709"/>
      <c r="C1089" s="648"/>
      <c r="D1089" s="470">
        <v>2028</v>
      </c>
      <c r="E1089" s="567">
        <f>F1089</f>
        <v>1.5</v>
      </c>
      <c r="F1089" s="567">
        <v>1.5</v>
      </c>
      <c r="G1089" s="567">
        <v>0</v>
      </c>
      <c r="H1089" s="567">
        <v>0</v>
      </c>
      <c r="I1089" s="567">
        <v>0</v>
      </c>
      <c r="J1089" s="567">
        <v>0</v>
      </c>
      <c r="K1089" s="52">
        <f t="shared" si="441"/>
        <v>1.5</v>
      </c>
      <c r="L1089" s="53"/>
      <c r="M1089" s="50"/>
      <c r="N1089" s="51"/>
      <c r="O1089" s="701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  <c r="AF1089" s="65"/>
      <c r="AG1089" s="65"/>
      <c r="AH1089" s="65"/>
      <c r="AI1089" s="65"/>
      <c r="AJ1089" s="65"/>
      <c r="AK1089" s="65"/>
      <c r="AL1089" s="65"/>
      <c r="AM1089" s="65"/>
      <c r="AN1089" s="65"/>
      <c r="AO1089" s="65"/>
      <c r="AP1089" s="65"/>
      <c r="AQ1089" s="65"/>
      <c r="AR1089" s="65"/>
      <c r="AS1089" s="65"/>
      <c r="AT1089" s="65"/>
      <c r="AU1089" s="65"/>
      <c r="AV1089" s="65"/>
      <c r="AW1089" s="65"/>
      <c r="AX1089" s="65"/>
      <c r="AY1089" s="65"/>
      <c r="AZ1089" s="65"/>
      <c r="BA1089" s="65"/>
      <c r="BB1089" s="65"/>
      <c r="BC1089" s="65"/>
      <c r="BD1089" s="65"/>
      <c r="BE1089" s="66"/>
    </row>
    <row r="1090" spans="1:57" s="48" customFormat="1" x14ac:dyDescent="0.2">
      <c r="A1090" s="675" t="s">
        <v>770</v>
      </c>
      <c r="B1090" s="705" t="s">
        <v>497</v>
      </c>
      <c r="C1090" s="648"/>
      <c r="D1090" s="46" t="s">
        <v>198</v>
      </c>
      <c r="E1090" s="567">
        <f>E1091</f>
        <v>1.5</v>
      </c>
      <c r="F1090" s="567">
        <f t="shared" ref="F1090:J1090" si="443">F1091</f>
        <v>1.5</v>
      </c>
      <c r="G1090" s="567">
        <f t="shared" si="443"/>
        <v>0</v>
      </c>
      <c r="H1090" s="567">
        <f t="shared" si="443"/>
        <v>0</v>
      </c>
      <c r="I1090" s="567">
        <f t="shared" si="443"/>
        <v>0</v>
      </c>
      <c r="J1090" s="567">
        <f t="shared" si="443"/>
        <v>0</v>
      </c>
      <c r="K1090" s="52">
        <f t="shared" si="441"/>
        <v>1.5</v>
      </c>
      <c r="L1090" s="53"/>
      <c r="M1090" s="50"/>
      <c r="N1090" s="51"/>
      <c r="O1090" s="701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  <c r="AF1090" s="65"/>
      <c r="AG1090" s="65"/>
      <c r="AH1090" s="65"/>
      <c r="AI1090" s="65"/>
      <c r="AJ1090" s="65"/>
      <c r="AK1090" s="65"/>
      <c r="AL1090" s="65"/>
      <c r="AM1090" s="65"/>
      <c r="AN1090" s="65"/>
      <c r="AO1090" s="65"/>
      <c r="AP1090" s="65"/>
      <c r="AQ1090" s="65"/>
      <c r="AR1090" s="65"/>
      <c r="AS1090" s="65"/>
      <c r="AT1090" s="65"/>
      <c r="AU1090" s="65"/>
      <c r="AV1090" s="65"/>
      <c r="AW1090" s="65"/>
      <c r="AX1090" s="65"/>
      <c r="AY1090" s="65"/>
      <c r="AZ1090" s="65"/>
      <c r="BA1090" s="65"/>
      <c r="BB1090" s="65"/>
      <c r="BC1090" s="65"/>
      <c r="BD1090" s="65"/>
      <c r="BE1090" s="66"/>
    </row>
    <row r="1091" spans="1:57" s="48" customFormat="1" x14ac:dyDescent="0.2">
      <c r="A1091" s="676"/>
      <c r="B1091" s="706"/>
      <c r="C1091" s="632"/>
      <c r="D1091" s="470">
        <v>2027</v>
      </c>
      <c r="E1091" s="567">
        <f>F1091</f>
        <v>1.5</v>
      </c>
      <c r="F1091" s="567">
        <v>1.5</v>
      </c>
      <c r="G1091" s="567">
        <v>0</v>
      </c>
      <c r="H1091" s="567">
        <v>0</v>
      </c>
      <c r="I1091" s="567">
        <v>0</v>
      </c>
      <c r="J1091" s="567">
        <v>0</v>
      </c>
      <c r="K1091" s="52">
        <f t="shared" si="441"/>
        <v>1.5</v>
      </c>
      <c r="L1091" s="53"/>
      <c r="M1091" s="50"/>
      <c r="N1091" s="51"/>
      <c r="O1091" s="702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  <c r="AH1091" s="65"/>
      <c r="AI1091" s="65"/>
      <c r="AJ1091" s="65"/>
      <c r="AK1091" s="65"/>
      <c r="AL1091" s="65"/>
      <c r="AM1091" s="65"/>
      <c r="AN1091" s="65"/>
      <c r="AO1091" s="65"/>
      <c r="AP1091" s="65"/>
      <c r="AQ1091" s="65"/>
      <c r="AR1091" s="65"/>
      <c r="AS1091" s="65"/>
      <c r="AT1091" s="65"/>
      <c r="AU1091" s="65"/>
      <c r="AV1091" s="65"/>
      <c r="AW1091" s="65"/>
      <c r="AX1091" s="65"/>
      <c r="AY1091" s="65"/>
      <c r="AZ1091" s="65"/>
      <c r="BA1091" s="65"/>
      <c r="BB1091" s="65"/>
      <c r="BC1091" s="65"/>
      <c r="BD1091" s="65"/>
      <c r="BE1091" s="66"/>
    </row>
    <row r="1092" spans="1:57" s="48" customFormat="1" ht="12.75" customHeight="1" x14ac:dyDescent="0.2">
      <c r="A1092" s="675" t="s">
        <v>771</v>
      </c>
      <c r="B1092" s="705" t="s">
        <v>573</v>
      </c>
      <c r="C1092" s="705" t="s">
        <v>402</v>
      </c>
      <c r="D1092" s="46" t="s">
        <v>198</v>
      </c>
      <c r="E1092" s="567">
        <f>E1093</f>
        <v>7.2900000000000006E-2</v>
      </c>
      <c r="F1092" s="567">
        <f t="shared" ref="F1092:J1092" si="444">F1093</f>
        <v>7.2900000000000006E-2</v>
      </c>
      <c r="G1092" s="567">
        <f t="shared" si="444"/>
        <v>0</v>
      </c>
      <c r="H1092" s="567">
        <f t="shared" si="444"/>
        <v>0</v>
      </c>
      <c r="I1092" s="567">
        <f t="shared" si="444"/>
        <v>0</v>
      </c>
      <c r="J1092" s="567">
        <f t="shared" si="444"/>
        <v>0</v>
      </c>
      <c r="K1092" s="52">
        <f t="shared" si="441"/>
        <v>7.2900000000000006E-2</v>
      </c>
      <c r="L1092" s="53"/>
      <c r="M1092" s="50"/>
      <c r="N1092" s="51"/>
      <c r="O1092" s="682" t="s">
        <v>861</v>
      </c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  <c r="AC1092" s="65"/>
      <c r="AD1092" s="65"/>
      <c r="AE1092" s="65"/>
      <c r="AF1092" s="65"/>
      <c r="AG1092" s="65"/>
      <c r="AH1092" s="65"/>
      <c r="AI1092" s="65"/>
      <c r="AJ1092" s="65"/>
      <c r="AK1092" s="65"/>
      <c r="AL1092" s="65"/>
      <c r="AM1092" s="65"/>
      <c r="AN1092" s="65"/>
      <c r="AO1092" s="65"/>
      <c r="AP1092" s="65"/>
      <c r="AQ1092" s="65"/>
      <c r="AR1092" s="65"/>
      <c r="AS1092" s="65"/>
      <c r="AT1092" s="65"/>
      <c r="AU1092" s="65"/>
      <c r="AV1092" s="65"/>
      <c r="AW1092" s="65"/>
      <c r="AX1092" s="65"/>
      <c r="AY1092" s="65"/>
      <c r="AZ1092" s="65"/>
      <c r="BA1092" s="65"/>
      <c r="BB1092" s="65"/>
      <c r="BC1092" s="65"/>
      <c r="BD1092" s="65"/>
      <c r="BE1092" s="66"/>
    </row>
    <row r="1093" spans="1:57" s="48" customFormat="1" ht="57.75" customHeight="1" x14ac:dyDescent="0.2">
      <c r="A1093" s="677"/>
      <c r="B1093" s="730"/>
      <c r="C1093" s="706"/>
      <c r="D1093" s="470">
        <v>2023</v>
      </c>
      <c r="E1093" s="567">
        <f>F1093+G1093+H1093+I1093+J1093</f>
        <v>7.2900000000000006E-2</v>
      </c>
      <c r="F1093" s="567">
        <v>7.2900000000000006E-2</v>
      </c>
      <c r="G1093" s="567">
        <v>0</v>
      </c>
      <c r="H1093" s="567">
        <v>0</v>
      </c>
      <c r="I1093" s="567">
        <v>0</v>
      </c>
      <c r="J1093" s="567">
        <v>0</v>
      </c>
      <c r="K1093" s="52">
        <f t="shared" si="441"/>
        <v>7.2900000000000006E-2</v>
      </c>
      <c r="L1093" s="53"/>
      <c r="M1093" s="50"/>
      <c r="N1093" s="51"/>
      <c r="O1093" s="683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  <c r="AB1093" s="65"/>
      <c r="AC1093" s="65"/>
      <c r="AD1093" s="65"/>
      <c r="AE1093" s="65"/>
      <c r="AF1093" s="65"/>
      <c r="AG1093" s="65"/>
      <c r="AH1093" s="65"/>
      <c r="AI1093" s="65"/>
      <c r="AJ1093" s="65"/>
      <c r="AK1093" s="65"/>
      <c r="AL1093" s="65"/>
      <c r="AM1093" s="65"/>
      <c r="AN1093" s="65"/>
      <c r="AO1093" s="65"/>
      <c r="AP1093" s="65"/>
      <c r="AQ1093" s="65"/>
      <c r="AR1093" s="65"/>
      <c r="AS1093" s="65"/>
      <c r="AT1093" s="65"/>
      <c r="AU1093" s="65"/>
      <c r="AV1093" s="65"/>
      <c r="AW1093" s="65"/>
      <c r="AX1093" s="65"/>
      <c r="AY1093" s="65"/>
      <c r="AZ1093" s="65"/>
      <c r="BA1093" s="65"/>
      <c r="BB1093" s="65"/>
      <c r="BC1093" s="65"/>
      <c r="BD1093" s="65"/>
      <c r="BE1093" s="66"/>
    </row>
    <row r="1094" spans="1:57" s="48" customFormat="1" ht="18" customHeight="1" x14ac:dyDescent="0.2">
      <c r="A1094" s="675" t="s">
        <v>714</v>
      </c>
      <c r="B1094" s="705" t="s">
        <v>925</v>
      </c>
      <c r="C1094" s="706"/>
      <c r="D1094" s="46" t="s">
        <v>198</v>
      </c>
      <c r="E1094" s="47">
        <f>E1095+E1096+E1097+E1098+E1099</f>
        <v>1.4171</v>
      </c>
      <c r="F1094" s="47">
        <f t="shared" ref="F1094:H1094" si="445">F1095+F1096+F1097+F1098+F1099</f>
        <v>1.4171</v>
      </c>
      <c r="G1094" s="47">
        <f t="shared" si="445"/>
        <v>0</v>
      </c>
      <c r="H1094" s="47">
        <f t="shared" si="445"/>
        <v>0</v>
      </c>
      <c r="I1094" s="47">
        <f t="shared" ref="I1094:J1094" si="446">I1095</f>
        <v>0</v>
      </c>
      <c r="J1094" s="47">
        <f t="shared" si="446"/>
        <v>0</v>
      </c>
      <c r="K1094" s="52">
        <f t="shared" si="441"/>
        <v>1.4171</v>
      </c>
      <c r="L1094" s="53"/>
      <c r="M1094" s="50"/>
      <c r="N1094" s="51"/>
      <c r="O1094" s="683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  <c r="AB1094" s="65"/>
      <c r="AC1094" s="65"/>
      <c r="AD1094" s="65"/>
      <c r="AE1094" s="65"/>
      <c r="AF1094" s="65"/>
      <c r="AG1094" s="65"/>
      <c r="AH1094" s="65"/>
      <c r="AI1094" s="65"/>
      <c r="AJ1094" s="65"/>
      <c r="AK1094" s="65"/>
      <c r="AL1094" s="65"/>
      <c r="AM1094" s="65"/>
      <c r="AN1094" s="65"/>
      <c r="AO1094" s="65"/>
      <c r="AP1094" s="65"/>
      <c r="AQ1094" s="65"/>
      <c r="AR1094" s="65"/>
      <c r="AS1094" s="65"/>
      <c r="AT1094" s="65"/>
      <c r="AU1094" s="65"/>
      <c r="AV1094" s="65"/>
      <c r="AW1094" s="65"/>
      <c r="AX1094" s="65"/>
      <c r="AY1094" s="65"/>
      <c r="AZ1094" s="65"/>
      <c r="BA1094" s="65"/>
      <c r="BB1094" s="65"/>
      <c r="BC1094" s="65"/>
      <c r="BD1094" s="65"/>
      <c r="BE1094" s="66"/>
    </row>
    <row r="1095" spans="1:57" s="48" customFormat="1" ht="17.25" customHeight="1" x14ac:dyDescent="0.2">
      <c r="A1095" s="676"/>
      <c r="B1095" s="706"/>
      <c r="C1095" s="706"/>
      <c r="D1095" s="470">
        <v>2020</v>
      </c>
      <c r="E1095" s="567">
        <f t="shared" ref="E1095:J1095" si="447">E1103</f>
        <v>7.2400000000000006E-2</v>
      </c>
      <c r="F1095" s="567">
        <f t="shared" si="447"/>
        <v>7.2400000000000006E-2</v>
      </c>
      <c r="G1095" s="567">
        <f t="shared" si="447"/>
        <v>0</v>
      </c>
      <c r="H1095" s="567">
        <f t="shared" si="447"/>
        <v>0</v>
      </c>
      <c r="I1095" s="567">
        <f t="shared" si="447"/>
        <v>0</v>
      </c>
      <c r="J1095" s="567">
        <f t="shared" si="447"/>
        <v>0</v>
      </c>
      <c r="K1095" s="52">
        <f t="shared" si="441"/>
        <v>7.2400000000000006E-2</v>
      </c>
      <c r="L1095" s="53"/>
      <c r="M1095" s="50"/>
      <c r="N1095" s="51"/>
      <c r="O1095" s="683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  <c r="AC1095" s="65"/>
      <c r="AD1095" s="65"/>
      <c r="AE1095" s="65"/>
      <c r="AF1095" s="65"/>
      <c r="AG1095" s="65"/>
      <c r="AH1095" s="65"/>
      <c r="AI1095" s="65"/>
      <c r="AJ1095" s="65"/>
      <c r="AK1095" s="65"/>
      <c r="AL1095" s="65"/>
      <c r="AM1095" s="65"/>
      <c r="AN1095" s="65"/>
      <c r="AO1095" s="65"/>
      <c r="AP1095" s="65"/>
      <c r="AQ1095" s="65"/>
      <c r="AR1095" s="65"/>
      <c r="AS1095" s="65"/>
      <c r="AT1095" s="65"/>
      <c r="AU1095" s="65"/>
      <c r="AV1095" s="65"/>
      <c r="AW1095" s="65"/>
      <c r="AX1095" s="65"/>
      <c r="AY1095" s="65"/>
      <c r="AZ1095" s="65"/>
      <c r="BA1095" s="65"/>
      <c r="BB1095" s="65"/>
      <c r="BC1095" s="65"/>
      <c r="BD1095" s="65"/>
      <c r="BE1095" s="66"/>
    </row>
    <row r="1096" spans="1:57" s="48" customFormat="1" ht="17.25" customHeight="1" x14ac:dyDescent="0.2">
      <c r="A1096" s="676"/>
      <c r="B1096" s="706"/>
      <c r="C1096" s="706"/>
      <c r="D1096" s="470">
        <v>2021</v>
      </c>
      <c r="E1096" s="567">
        <f>F1096</f>
        <v>0.62400999999999995</v>
      </c>
      <c r="F1096" s="567">
        <f>F1101+F1105+F1107</f>
        <v>0.62400999999999995</v>
      </c>
      <c r="G1096" s="567">
        <f>G1101+G1105+G1107</f>
        <v>0</v>
      </c>
      <c r="H1096" s="567">
        <f>H1101+H1105+H1107</f>
        <v>0</v>
      </c>
      <c r="I1096" s="567">
        <f>I1101+I1105+I1107</f>
        <v>0</v>
      </c>
      <c r="J1096" s="567">
        <f>J1101+J1105+J1107</f>
        <v>0</v>
      </c>
      <c r="K1096" s="52">
        <f t="shared" si="441"/>
        <v>0.62400999999999995</v>
      </c>
      <c r="L1096" s="53"/>
      <c r="M1096" s="50"/>
      <c r="N1096" s="51"/>
      <c r="O1096" s="683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  <c r="AC1096" s="65"/>
      <c r="AD1096" s="65"/>
      <c r="AE1096" s="65"/>
      <c r="AF1096" s="65"/>
      <c r="AG1096" s="65"/>
      <c r="AH1096" s="65"/>
      <c r="AI1096" s="65"/>
      <c r="AJ1096" s="65"/>
      <c r="AK1096" s="65"/>
      <c r="AL1096" s="65"/>
      <c r="AM1096" s="65"/>
      <c r="AN1096" s="65"/>
      <c r="AO1096" s="65"/>
      <c r="AP1096" s="65"/>
      <c r="AQ1096" s="65"/>
      <c r="AR1096" s="65"/>
      <c r="AS1096" s="65"/>
      <c r="AT1096" s="65"/>
      <c r="AU1096" s="65"/>
      <c r="AV1096" s="65"/>
      <c r="AW1096" s="65"/>
      <c r="AX1096" s="65"/>
      <c r="AY1096" s="65"/>
      <c r="AZ1096" s="65"/>
      <c r="BA1096" s="65"/>
      <c r="BB1096" s="65"/>
      <c r="BC1096" s="65"/>
      <c r="BD1096" s="65"/>
      <c r="BE1096" s="66"/>
    </row>
    <row r="1097" spans="1:57" s="48" customFormat="1" ht="17.25" customHeight="1" x14ac:dyDescent="0.2">
      <c r="A1097" s="676"/>
      <c r="B1097" s="706"/>
      <c r="C1097" s="706"/>
      <c r="D1097" s="60">
        <v>2022</v>
      </c>
      <c r="E1097" s="567">
        <f>F1097</f>
        <v>5.2510000000000001E-2</v>
      </c>
      <c r="F1097" s="567">
        <f>F1109+F1111</f>
        <v>5.2510000000000001E-2</v>
      </c>
      <c r="G1097" s="567">
        <f t="shared" ref="G1097:J1097" si="448">G1109+G1111</f>
        <v>0</v>
      </c>
      <c r="H1097" s="567">
        <f t="shared" si="448"/>
        <v>0</v>
      </c>
      <c r="I1097" s="567">
        <f t="shared" si="448"/>
        <v>0</v>
      </c>
      <c r="J1097" s="567">
        <f t="shared" si="448"/>
        <v>0</v>
      </c>
      <c r="K1097" s="52">
        <f t="shared" si="441"/>
        <v>5.2510000000000001E-2</v>
      </c>
      <c r="L1097" s="53"/>
      <c r="M1097" s="50"/>
      <c r="N1097" s="51"/>
      <c r="O1097" s="683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  <c r="AC1097" s="65"/>
      <c r="AD1097" s="65"/>
      <c r="AE1097" s="65"/>
      <c r="AF1097" s="65"/>
      <c r="AG1097" s="65"/>
      <c r="AH1097" s="65"/>
      <c r="AI1097" s="65"/>
      <c r="AJ1097" s="65"/>
      <c r="AK1097" s="65"/>
      <c r="AL1097" s="65"/>
      <c r="AM1097" s="65"/>
      <c r="AN1097" s="65"/>
      <c r="AO1097" s="65"/>
      <c r="AP1097" s="65"/>
      <c r="AQ1097" s="65"/>
      <c r="AR1097" s="65"/>
      <c r="AS1097" s="65"/>
      <c r="AT1097" s="65"/>
      <c r="AU1097" s="65"/>
      <c r="AV1097" s="65"/>
      <c r="AW1097" s="65"/>
      <c r="AX1097" s="65"/>
      <c r="AY1097" s="65"/>
      <c r="AZ1097" s="65"/>
      <c r="BA1097" s="65"/>
      <c r="BB1097" s="65"/>
      <c r="BC1097" s="65"/>
      <c r="BD1097" s="65"/>
      <c r="BE1097" s="66"/>
    </row>
    <row r="1098" spans="1:57" s="48" customFormat="1" ht="17.25" customHeight="1" x14ac:dyDescent="0.2">
      <c r="A1098" s="676"/>
      <c r="B1098" s="706"/>
      <c r="C1098" s="706"/>
      <c r="D1098" s="60">
        <v>2023</v>
      </c>
      <c r="E1098" s="567">
        <f t="shared" ref="E1098:E1099" si="449">F1098</f>
        <v>3.7679999999999998E-2</v>
      </c>
      <c r="F1098" s="567">
        <f>F1117</f>
        <v>3.7679999999999998E-2</v>
      </c>
      <c r="G1098" s="567">
        <f t="shared" ref="G1098:J1098" si="450">G1117</f>
        <v>0</v>
      </c>
      <c r="H1098" s="567">
        <f t="shared" si="450"/>
        <v>0</v>
      </c>
      <c r="I1098" s="567">
        <f t="shared" si="450"/>
        <v>0</v>
      </c>
      <c r="J1098" s="567">
        <f t="shared" si="450"/>
        <v>0</v>
      </c>
      <c r="K1098" s="52">
        <f t="shared" si="441"/>
        <v>3.7679999999999998E-2</v>
      </c>
      <c r="L1098" s="53"/>
      <c r="M1098" s="50"/>
      <c r="N1098" s="51"/>
      <c r="O1098" s="683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  <c r="AE1098" s="65"/>
      <c r="AF1098" s="65"/>
      <c r="AG1098" s="65"/>
      <c r="AH1098" s="65"/>
      <c r="AI1098" s="65"/>
      <c r="AJ1098" s="65"/>
      <c r="AK1098" s="65"/>
      <c r="AL1098" s="65"/>
      <c r="AM1098" s="65"/>
      <c r="AN1098" s="65"/>
      <c r="AO1098" s="65"/>
      <c r="AP1098" s="65"/>
      <c r="AQ1098" s="65"/>
      <c r="AR1098" s="65"/>
      <c r="AS1098" s="65"/>
      <c r="AT1098" s="65"/>
      <c r="AU1098" s="65"/>
      <c r="AV1098" s="65"/>
      <c r="AW1098" s="65"/>
      <c r="AX1098" s="65"/>
      <c r="AY1098" s="65"/>
      <c r="AZ1098" s="65"/>
      <c r="BA1098" s="65"/>
      <c r="BB1098" s="65"/>
      <c r="BC1098" s="65"/>
      <c r="BD1098" s="65"/>
      <c r="BE1098" s="66"/>
    </row>
    <row r="1099" spans="1:57" s="48" customFormat="1" ht="17.25" customHeight="1" x14ac:dyDescent="0.2">
      <c r="A1099" s="677"/>
      <c r="B1099" s="730"/>
      <c r="C1099" s="706"/>
      <c r="D1099" s="60">
        <v>2024</v>
      </c>
      <c r="E1099" s="567">
        <f t="shared" si="449"/>
        <v>0.63049999999999995</v>
      </c>
      <c r="F1099" s="567">
        <f>F1113+F1115</f>
        <v>0.63049999999999995</v>
      </c>
      <c r="G1099" s="567">
        <v>0</v>
      </c>
      <c r="H1099" s="567">
        <v>0</v>
      </c>
      <c r="I1099" s="567">
        <v>0</v>
      </c>
      <c r="J1099" s="567">
        <v>0</v>
      </c>
      <c r="K1099" s="52">
        <f t="shared" si="441"/>
        <v>0.63049999999999995</v>
      </c>
      <c r="L1099" s="53"/>
      <c r="M1099" s="50"/>
      <c r="N1099" s="51"/>
      <c r="O1099" s="683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  <c r="AF1099" s="65"/>
      <c r="AG1099" s="65"/>
      <c r="AH1099" s="65"/>
      <c r="AI1099" s="65"/>
      <c r="AJ1099" s="65"/>
      <c r="AK1099" s="65"/>
      <c r="AL1099" s="65"/>
      <c r="AM1099" s="65"/>
      <c r="AN1099" s="65"/>
      <c r="AO1099" s="65"/>
      <c r="AP1099" s="65"/>
      <c r="AQ1099" s="65"/>
      <c r="AR1099" s="65"/>
      <c r="AS1099" s="65"/>
      <c r="AT1099" s="65"/>
      <c r="AU1099" s="65"/>
      <c r="AV1099" s="65"/>
      <c r="AW1099" s="65"/>
      <c r="AX1099" s="65"/>
      <c r="AY1099" s="65"/>
      <c r="AZ1099" s="65"/>
      <c r="BA1099" s="65"/>
      <c r="BB1099" s="65"/>
      <c r="BC1099" s="65"/>
      <c r="BD1099" s="65"/>
      <c r="BE1099" s="66"/>
    </row>
    <row r="1100" spans="1:57" s="48" customFormat="1" ht="17.25" customHeight="1" x14ac:dyDescent="0.2">
      <c r="A1100" s="680" t="s">
        <v>926</v>
      </c>
      <c r="B1100" s="705" t="s">
        <v>919</v>
      </c>
      <c r="C1100" s="706"/>
      <c r="D1100" s="46" t="s">
        <v>198</v>
      </c>
      <c r="E1100" s="47">
        <f>E1101</f>
        <v>0.52349999999999997</v>
      </c>
      <c r="F1100" s="47">
        <f>F1101</f>
        <v>0.52349999999999997</v>
      </c>
      <c r="G1100" s="47">
        <f t="shared" ref="G1100:J1100" si="451">G1101</f>
        <v>0</v>
      </c>
      <c r="H1100" s="47">
        <f t="shared" si="451"/>
        <v>0</v>
      </c>
      <c r="I1100" s="47">
        <f t="shared" si="451"/>
        <v>0</v>
      </c>
      <c r="J1100" s="47">
        <f t="shared" si="451"/>
        <v>0</v>
      </c>
      <c r="K1100" s="52">
        <f t="shared" si="441"/>
        <v>0.52349999999999997</v>
      </c>
      <c r="L1100" s="53"/>
      <c r="M1100" s="50"/>
      <c r="N1100" s="51"/>
      <c r="O1100" s="683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  <c r="AF1100" s="65"/>
      <c r="AG1100" s="65"/>
      <c r="AH1100" s="65"/>
      <c r="AI1100" s="65"/>
      <c r="AJ1100" s="65"/>
      <c r="AK1100" s="65"/>
      <c r="AL1100" s="65"/>
      <c r="AM1100" s="65"/>
      <c r="AN1100" s="65"/>
      <c r="AO1100" s="65"/>
      <c r="AP1100" s="65"/>
      <c r="AQ1100" s="65"/>
      <c r="AR1100" s="65"/>
      <c r="AS1100" s="65"/>
      <c r="AT1100" s="65"/>
      <c r="AU1100" s="65"/>
      <c r="AV1100" s="65"/>
      <c r="AW1100" s="65"/>
      <c r="AX1100" s="65"/>
      <c r="AY1100" s="65"/>
      <c r="AZ1100" s="65"/>
      <c r="BA1100" s="65"/>
      <c r="BB1100" s="65"/>
      <c r="BC1100" s="65"/>
      <c r="BD1100" s="65"/>
      <c r="BE1100" s="66"/>
    </row>
    <row r="1101" spans="1:57" s="48" customFormat="1" ht="27" customHeight="1" x14ac:dyDescent="0.2">
      <c r="A1101" s="680"/>
      <c r="B1101" s="730"/>
      <c r="C1101" s="706"/>
      <c r="D1101" s="470">
        <v>2021</v>
      </c>
      <c r="E1101" s="567">
        <f>F1101+G1101+H1101+I1101+J1101</f>
        <v>0.52349999999999997</v>
      </c>
      <c r="F1101" s="567">
        <v>0.52349999999999997</v>
      </c>
      <c r="G1101" s="567">
        <v>0</v>
      </c>
      <c r="H1101" s="567">
        <v>0</v>
      </c>
      <c r="I1101" s="567">
        <v>0</v>
      </c>
      <c r="J1101" s="567">
        <v>0</v>
      </c>
      <c r="K1101" s="52">
        <f t="shared" si="441"/>
        <v>0.52349999999999997</v>
      </c>
      <c r="L1101" s="53"/>
      <c r="M1101" s="50"/>
      <c r="N1101" s="51"/>
      <c r="O1101" s="683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  <c r="AC1101" s="65"/>
      <c r="AD1101" s="65"/>
      <c r="AE1101" s="65"/>
      <c r="AF1101" s="65"/>
      <c r="AG1101" s="65"/>
      <c r="AH1101" s="65"/>
      <c r="AI1101" s="65"/>
      <c r="AJ1101" s="65"/>
      <c r="AK1101" s="65"/>
      <c r="AL1101" s="65"/>
      <c r="AM1101" s="65"/>
      <c r="AN1101" s="65"/>
      <c r="AO1101" s="65"/>
      <c r="AP1101" s="65"/>
      <c r="AQ1101" s="65"/>
      <c r="AR1101" s="65"/>
      <c r="AS1101" s="65"/>
      <c r="AT1101" s="65"/>
      <c r="AU1101" s="65"/>
      <c r="AV1101" s="65"/>
      <c r="AW1101" s="65"/>
      <c r="AX1101" s="65"/>
      <c r="AY1101" s="65"/>
      <c r="AZ1101" s="65"/>
      <c r="BA1101" s="65"/>
      <c r="BB1101" s="65"/>
      <c r="BC1101" s="65"/>
      <c r="BD1101" s="65"/>
      <c r="BE1101" s="66"/>
    </row>
    <row r="1102" spans="1:57" s="48" customFormat="1" ht="12.75" customHeight="1" x14ac:dyDescent="0.2">
      <c r="A1102" s="675" t="s">
        <v>927</v>
      </c>
      <c r="B1102" s="705" t="s">
        <v>920</v>
      </c>
      <c r="C1102" s="706"/>
      <c r="D1102" s="46" t="s">
        <v>198</v>
      </c>
      <c r="E1102" s="47">
        <f>E1103</f>
        <v>7.2400000000000006E-2</v>
      </c>
      <c r="F1102" s="47">
        <f>F1103</f>
        <v>7.2400000000000006E-2</v>
      </c>
      <c r="G1102" s="47">
        <f t="shared" ref="G1102:J1102" si="452">G1103</f>
        <v>0</v>
      </c>
      <c r="H1102" s="47">
        <f t="shared" si="452"/>
        <v>0</v>
      </c>
      <c r="I1102" s="47">
        <f t="shared" si="452"/>
        <v>0</v>
      </c>
      <c r="J1102" s="47">
        <f t="shared" si="452"/>
        <v>0</v>
      </c>
      <c r="K1102" s="52">
        <f t="shared" si="441"/>
        <v>7.2400000000000006E-2</v>
      </c>
      <c r="L1102" s="53"/>
      <c r="M1102" s="50"/>
      <c r="N1102" s="51"/>
      <c r="O1102" s="683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  <c r="AC1102" s="65"/>
      <c r="AD1102" s="65"/>
      <c r="AE1102" s="65"/>
      <c r="AF1102" s="65"/>
      <c r="AG1102" s="65"/>
      <c r="AH1102" s="65"/>
      <c r="AI1102" s="65"/>
      <c r="AJ1102" s="65"/>
      <c r="AK1102" s="65"/>
      <c r="AL1102" s="65"/>
      <c r="AM1102" s="65"/>
      <c r="AN1102" s="65"/>
      <c r="AO1102" s="65"/>
      <c r="AP1102" s="65"/>
      <c r="AQ1102" s="65"/>
      <c r="AR1102" s="65"/>
      <c r="AS1102" s="65"/>
      <c r="AT1102" s="65"/>
      <c r="AU1102" s="65"/>
      <c r="AV1102" s="65"/>
      <c r="AW1102" s="65"/>
      <c r="AX1102" s="65"/>
      <c r="AY1102" s="65"/>
      <c r="AZ1102" s="65"/>
      <c r="BA1102" s="65"/>
      <c r="BB1102" s="65"/>
      <c r="BC1102" s="65"/>
      <c r="BD1102" s="65"/>
      <c r="BE1102" s="66"/>
    </row>
    <row r="1103" spans="1:57" s="48" customFormat="1" ht="60" customHeight="1" x14ac:dyDescent="0.2">
      <c r="A1103" s="677"/>
      <c r="B1103" s="730"/>
      <c r="C1103" s="706"/>
      <c r="D1103" s="470">
        <v>2020</v>
      </c>
      <c r="E1103" s="567">
        <f>F1103+G1103+H1103+I1103+J1103</f>
        <v>7.2400000000000006E-2</v>
      </c>
      <c r="F1103" s="567">
        <v>7.2400000000000006E-2</v>
      </c>
      <c r="G1103" s="567">
        <v>0</v>
      </c>
      <c r="H1103" s="567">
        <v>0</v>
      </c>
      <c r="I1103" s="567">
        <v>0</v>
      </c>
      <c r="J1103" s="567">
        <v>0</v>
      </c>
      <c r="K1103" s="52">
        <f t="shared" si="441"/>
        <v>7.2400000000000006E-2</v>
      </c>
      <c r="L1103" s="53"/>
      <c r="M1103" s="50"/>
      <c r="N1103" s="51"/>
      <c r="O1103" s="684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  <c r="AC1103" s="65"/>
      <c r="AD1103" s="65"/>
      <c r="AE1103" s="65"/>
      <c r="AF1103" s="65"/>
      <c r="AG1103" s="65"/>
      <c r="AH1103" s="65"/>
      <c r="AI1103" s="65"/>
      <c r="AJ1103" s="65"/>
      <c r="AK1103" s="65"/>
      <c r="AL1103" s="65"/>
      <c r="AM1103" s="65"/>
      <c r="AN1103" s="65"/>
      <c r="AO1103" s="65"/>
      <c r="AP1103" s="65"/>
      <c r="AQ1103" s="65"/>
      <c r="AR1103" s="65"/>
      <c r="AS1103" s="65"/>
      <c r="AT1103" s="65"/>
      <c r="AU1103" s="65"/>
      <c r="AV1103" s="65"/>
      <c r="AW1103" s="65"/>
      <c r="AX1103" s="65"/>
      <c r="AY1103" s="65"/>
      <c r="AZ1103" s="65"/>
      <c r="BA1103" s="65"/>
      <c r="BB1103" s="65"/>
      <c r="BC1103" s="65"/>
      <c r="BD1103" s="65"/>
      <c r="BE1103" s="66"/>
    </row>
    <row r="1104" spans="1:57" s="48" customFormat="1" ht="12.75" customHeight="1" x14ac:dyDescent="0.2">
      <c r="A1104" s="675" t="s">
        <v>928</v>
      </c>
      <c r="B1104" s="705" t="s">
        <v>921</v>
      </c>
      <c r="C1104" s="706"/>
      <c r="D1104" s="46" t="s">
        <v>513</v>
      </c>
      <c r="E1104" s="47">
        <f>E1105</f>
        <v>3.7609999999999998E-2</v>
      </c>
      <c r="F1104" s="47">
        <f>F1105</f>
        <v>3.7609999999999998E-2</v>
      </c>
      <c r="G1104" s="47">
        <f t="shared" ref="G1104:J1104" si="453">G1105</f>
        <v>0</v>
      </c>
      <c r="H1104" s="47">
        <f t="shared" si="453"/>
        <v>0</v>
      </c>
      <c r="I1104" s="47">
        <f t="shared" si="453"/>
        <v>0</v>
      </c>
      <c r="J1104" s="47">
        <f t="shared" si="453"/>
        <v>0</v>
      </c>
      <c r="K1104" s="52">
        <f t="shared" si="441"/>
        <v>3.7609999999999998E-2</v>
      </c>
      <c r="L1104" s="53"/>
      <c r="M1104" s="50"/>
      <c r="N1104" s="51"/>
      <c r="O1104" s="492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  <c r="AF1104" s="65"/>
      <c r="AG1104" s="65"/>
      <c r="AH1104" s="65"/>
      <c r="AI1104" s="65"/>
      <c r="AJ1104" s="65"/>
      <c r="AK1104" s="65"/>
      <c r="AL1104" s="65"/>
      <c r="AM1104" s="65"/>
      <c r="AN1104" s="65"/>
      <c r="AO1104" s="65"/>
      <c r="AP1104" s="65"/>
      <c r="AQ1104" s="65"/>
      <c r="AR1104" s="65"/>
      <c r="AS1104" s="65"/>
      <c r="AT1104" s="65"/>
      <c r="AU1104" s="65"/>
      <c r="AV1104" s="65"/>
      <c r="AW1104" s="65"/>
      <c r="AX1104" s="65"/>
      <c r="AY1104" s="65"/>
      <c r="AZ1104" s="65"/>
      <c r="BA1104" s="65"/>
      <c r="BB1104" s="65"/>
      <c r="BC1104" s="65"/>
      <c r="BD1104" s="65"/>
      <c r="BE1104" s="66"/>
    </row>
    <row r="1105" spans="1:57" s="48" customFormat="1" ht="53.25" customHeight="1" x14ac:dyDescent="0.2">
      <c r="A1105" s="677"/>
      <c r="B1105" s="730"/>
      <c r="C1105" s="706"/>
      <c r="D1105" s="470">
        <v>2021</v>
      </c>
      <c r="E1105" s="567">
        <f>F1105+G1105+H1105+I1105+J1105</f>
        <v>3.7609999999999998E-2</v>
      </c>
      <c r="F1105" s="567">
        <v>3.7609999999999998E-2</v>
      </c>
      <c r="G1105" s="567">
        <v>0</v>
      </c>
      <c r="H1105" s="567">
        <v>0</v>
      </c>
      <c r="I1105" s="567">
        <v>0</v>
      </c>
      <c r="J1105" s="567">
        <v>0</v>
      </c>
      <c r="K1105" s="52">
        <f t="shared" si="441"/>
        <v>3.7609999999999998E-2</v>
      </c>
      <c r="L1105" s="53"/>
      <c r="M1105" s="50"/>
      <c r="N1105" s="51"/>
      <c r="O1105" s="492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  <c r="AF1105" s="65"/>
      <c r="AG1105" s="65"/>
      <c r="AH1105" s="65"/>
      <c r="AI1105" s="65"/>
      <c r="AJ1105" s="65"/>
      <c r="AK1105" s="65"/>
      <c r="AL1105" s="65"/>
      <c r="AM1105" s="65"/>
      <c r="AN1105" s="65"/>
      <c r="AO1105" s="65"/>
      <c r="AP1105" s="65"/>
      <c r="AQ1105" s="65"/>
      <c r="AR1105" s="65"/>
      <c r="AS1105" s="65"/>
      <c r="AT1105" s="65"/>
      <c r="AU1105" s="65"/>
      <c r="AV1105" s="65"/>
      <c r="AW1105" s="65"/>
      <c r="AX1105" s="65"/>
      <c r="AY1105" s="65"/>
      <c r="AZ1105" s="65"/>
      <c r="BA1105" s="65"/>
      <c r="BB1105" s="65"/>
      <c r="BC1105" s="65"/>
      <c r="BD1105" s="65"/>
      <c r="BE1105" s="66"/>
    </row>
    <row r="1106" spans="1:57" s="48" customFormat="1" ht="24" customHeight="1" x14ac:dyDescent="0.2">
      <c r="A1106" s="675" t="s">
        <v>929</v>
      </c>
      <c r="B1106" s="705" t="s">
        <v>922</v>
      </c>
      <c r="C1106" s="706"/>
      <c r="D1106" s="46" t="s">
        <v>198</v>
      </c>
      <c r="E1106" s="47">
        <f>E1107</f>
        <v>6.2899999999999998E-2</v>
      </c>
      <c r="F1106" s="47">
        <f>F1107</f>
        <v>6.2899999999999998E-2</v>
      </c>
      <c r="G1106" s="47">
        <f t="shared" ref="G1106:J1106" si="454">G1107</f>
        <v>0</v>
      </c>
      <c r="H1106" s="47">
        <f t="shared" si="454"/>
        <v>0</v>
      </c>
      <c r="I1106" s="47">
        <f t="shared" si="454"/>
        <v>0</v>
      </c>
      <c r="J1106" s="47">
        <f t="shared" si="454"/>
        <v>0</v>
      </c>
      <c r="K1106" s="52">
        <f t="shared" si="441"/>
        <v>6.2899999999999998E-2</v>
      </c>
      <c r="L1106" s="53"/>
      <c r="M1106" s="50"/>
      <c r="N1106" s="51"/>
      <c r="O1106" s="492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  <c r="AC1106" s="65"/>
      <c r="AD1106" s="65"/>
      <c r="AE1106" s="65"/>
      <c r="AF1106" s="65"/>
      <c r="AG1106" s="65"/>
      <c r="AH1106" s="65"/>
      <c r="AI1106" s="65"/>
      <c r="AJ1106" s="65"/>
      <c r="AK1106" s="65"/>
      <c r="AL1106" s="65"/>
      <c r="AM1106" s="65"/>
      <c r="AN1106" s="65"/>
      <c r="AO1106" s="65"/>
      <c r="AP1106" s="65"/>
      <c r="AQ1106" s="65"/>
      <c r="AR1106" s="65"/>
      <c r="AS1106" s="65"/>
      <c r="AT1106" s="65"/>
      <c r="AU1106" s="65"/>
      <c r="AV1106" s="65"/>
      <c r="AW1106" s="65"/>
      <c r="AX1106" s="65"/>
      <c r="AY1106" s="65"/>
      <c r="AZ1106" s="65"/>
      <c r="BA1106" s="65"/>
      <c r="BB1106" s="65"/>
      <c r="BC1106" s="65"/>
      <c r="BD1106" s="65"/>
      <c r="BE1106" s="66"/>
    </row>
    <row r="1107" spans="1:57" s="48" customFormat="1" ht="43.5" customHeight="1" x14ac:dyDescent="0.2">
      <c r="A1107" s="677"/>
      <c r="B1107" s="730"/>
      <c r="C1107" s="706"/>
      <c r="D1107" s="470">
        <v>2021</v>
      </c>
      <c r="E1107" s="567">
        <f>F1107+G1107+H1107+I1107+J1107</f>
        <v>6.2899999999999998E-2</v>
      </c>
      <c r="F1107" s="567">
        <v>6.2899999999999998E-2</v>
      </c>
      <c r="G1107" s="567">
        <v>0</v>
      </c>
      <c r="H1107" s="567">
        <v>0</v>
      </c>
      <c r="I1107" s="567">
        <v>0</v>
      </c>
      <c r="J1107" s="567">
        <v>0</v>
      </c>
      <c r="K1107" s="52">
        <f t="shared" si="441"/>
        <v>6.2899999999999998E-2</v>
      </c>
      <c r="L1107" s="53"/>
      <c r="M1107" s="50"/>
      <c r="N1107" s="51"/>
      <c r="O1107" s="492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  <c r="AC1107" s="65"/>
      <c r="AD1107" s="65"/>
      <c r="AE1107" s="65"/>
      <c r="AF1107" s="65"/>
      <c r="AG1107" s="65"/>
      <c r="AH1107" s="65"/>
      <c r="AI1107" s="65"/>
      <c r="AJ1107" s="65"/>
      <c r="AK1107" s="65"/>
      <c r="AL1107" s="65"/>
      <c r="AM1107" s="65"/>
      <c r="AN1107" s="65"/>
      <c r="AO1107" s="65"/>
      <c r="AP1107" s="65"/>
      <c r="AQ1107" s="65"/>
      <c r="AR1107" s="65"/>
      <c r="AS1107" s="65"/>
      <c r="AT1107" s="65"/>
      <c r="AU1107" s="65"/>
      <c r="AV1107" s="65"/>
      <c r="AW1107" s="65"/>
      <c r="AX1107" s="65"/>
      <c r="AY1107" s="65"/>
      <c r="AZ1107" s="65"/>
      <c r="BA1107" s="65"/>
      <c r="BB1107" s="65"/>
      <c r="BC1107" s="65"/>
      <c r="BD1107" s="65"/>
      <c r="BE1107" s="66"/>
    </row>
    <row r="1108" spans="1:57" s="48" customFormat="1" ht="32.25" customHeight="1" x14ac:dyDescent="0.2">
      <c r="A1108" s="675" t="s">
        <v>930</v>
      </c>
      <c r="B1108" s="705" t="s">
        <v>923</v>
      </c>
      <c r="C1108" s="706"/>
      <c r="D1108" s="46" t="s">
        <v>513</v>
      </c>
      <c r="E1108" s="47">
        <f>E1109</f>
        <v>1.34E-2</v>
      </c>
      <c r="F1108" s="47">
        <f>F1109</f>
        <v>1.34E-2</v>
      </c>
      <c r="G1108" s="47">
        <f t="shared" ref="G1108:J1108" si="455">G1109</f>
        <v>0</v>
      </c>
      <c r="H1108" s="47">
        <f t="shared" si="455"/>
        <v>0</v>
      </c>
      <c r="I1108" s="47">
        <f t="shared" si="455"/>
        <v>0</v>
      </c>
      <c r="J1108" s="47">
        <f t="shared" si="455"/>
        <v>0</v>
      </c>
      <c r="K1108" s="52">
        <f t="shared" si="441"/>
        <v>1.34E-2</v>
      </c>
      <c r="L1108" s="53"/>
      <c r="M1108" s="50"/>
      <c r="N1108" s="51"/>
      <c r="O1108" s="492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  <c r="AF1108" s="65"/>
      <c r="AG1108" s="65"/>
      <c r="AH1108" s="65"/>
      <c r="AI1108" s="65"/>
      <c r="AJ1108" s="65"/>
      <c r="AK1108" s="65"/>
      <c r="AL1108" s="65"/>
      <c r="AM1108" s="65"/>
      <c r="AN1108" s="65"/>
      <c r="AO1108" s="65"/>
      <c r="AP1108" s="65"/>
      <c r="AQ1108" s="65"/>
      <c r="AR1108" s="65"/>
      <c r="AS1108" s="65"/>
      <c r="AT1108" s="65"/>
      <c r="AU1108" s="65"/>
      <c r="AV1108" s="65"/>
      <c r="AW1108" s="65"/>
      <c r="AX1108" s="65"/>
      <c r="AY1108" s="65"/>
      <c r="AZ1108" s="65"/>
      <c r="BA1108" s="65"/>
      <c r="BB1108" s="65"/>
      <c r="BC1108" s="65"/>
      <c r="BD1108" s="65"/>
      <c r="BE1108" s="66"/>
    </row>
    <row r="1109" spans="1:57" s="48" customFormat="1" ht="36" customHeight="1" x14ac:dyDescent="0.2">
      <c r="A1109" s="677"/>
      <c r="B1109" s="730"/>
      <c r="C1109" s="706"/>
      <c r="D1109" s="470">
        <v>2022</v>
      </c>
      <c r="E1109" s="567">
        <f>F1109+G1109+H1109+I1109+J1109</f>
        <v>1.34E-2</v>
      </c>
      <c r="F1109" s="567">
        <v>1.34E-2</v>
      </c>
      <c r="G1109" s="567">
        <v>0</v>
      </c>
      <c r="H1109" s="567">
        <v>0</v>
      </c>
      <c r="I1109" s="567">
        <v>0</v>
      </c>
      <c r="J1109" s="567">
        <v>0</v>
      </c>
      <c r="K1109" s="52">
        <f t="shared" si="441"/>
        <v>1.34E-2</v>
      </c>
      <c r="L1109" s="53"/>
      <c r="M1109" s="50"/>
      <c r="N1109" s="51"/>
      <c r="O1109" s="492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  <c r="AF1109" s="65"/>
      <c r="AG1109" s="65"/>
      <c r="AH1109" s="65"/>
      <c r="AI1109" s="65"/>
      <c r="AJ1109" s="65"/>
      <c r="AK1109" s="65"/>
      <c r="AL1109" s="65"/>
      <c r="AM1109" s="65"/>
      <c r="AN1109" s="65"/>
      <c r="AO1109" s="65"/>
      <c r="AP1109" s="65"/>
      <c r="AQ1109" s="65"/>
      <c r="AR1109" s="65"/>
      <c r="AS1109" s="65"/>
      <c r="AT1109" s="65"/>
      <c r="AU1109" s="65"/>
      <c r="AV1109" s="65"/>
      <c r="AW1109" s="65"/>
      <c r="AX1109" s="65"/>
      <c r="AY1109" s="65"/>
      <c r="AZ1109" s="65"/>
      <c r="BA1109" s="65"/>
      <c r="BB1109" s="65"/>
      <c r="BC1109" s="65"/>
      <c r="BD1109" s="65"/>
      <c r="BE1109" s="66"/>
    </row>
    <row r="1110" spans="1:57" s="48" customFormat="1" ht="32.25" customHeight="1" x14ac:dyDescent="0.2">
      <c r="A1110" s="675" t="s">
        <v>931</v>
      </c>
      <c r="B1110" s="705" t="s">
        <v>924</v>
      </c>
      <c r="C1110" s="706"/>
      <c r="D1110" s="46" t="s">
        <v>513</v>
      </c>
      <c r="E1110" s="47">
        <f>E1111</f>
        <v>3.9109999999999999E-2</v>
      </c>
      <c r="F1110" s="47">
        <f>F1111</f>
        <v>3.9109999999999999E-2</v>
      </c>
      <c r="G1110" s="47">
        <f t="shared" ref="G1110:J1110" si="456">G1111</f>
        <v>0</v>
      </c>
      <c r="H1110" s="47">
        <f t="shared" si="456"/>
        <v>0</v>
      </c>
      <c r="I1110" s="47">
        <f t="shared" si="456"/>
        <v>0</v>
      </c>
      <c r="J1110" s="47">
        <f t="shared" si="456"/>
        <v>0</v>
      </c>
      <c r="K1110" s="52">
        <f t="shared" si="441"/>
        <v>3.9109999999999999E-2</v>
      </c>
      <c r="L1110" s="53"/>
      <c r="M1110" s="50"/>
      <c r="N1110" s="51"/>
      <c r="O1110" s="492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  <c r="AB1110" s="65"/>
      <c r="AC1110" s="65"/>
      <c r="AD1110" s="65"/>
      <c r="AE1110" s="65"/>
      <c r="AF1110" s="65"/>
      <c r="AG1110" s="65"/>
      <c r="AH1110" s="65"/>
      <c r="AI1110" s="65"/>
      <c r="AJ1110" s="65"/>
      <c r="AK1110" s="65"/>
      <c r="AL1110" s="65"/>
      <c r="AM1110" s="65"/>
      <c r="AN1110" s="65"/>
      <c r="AO1110" s="65"/>
      <c r="AP1110" s="65"/>
      <c r="AQ1110" s="65"/>
      <c r="AR1110" s="65"/>
      <c r="AS1110" s="65"/>
      <c r="AT1110" s="65"/>
      <c r="AU1110" s="65"/>
      <c r="AV1110" s="65"/>
      <c r="AW1110" s="65"/>
      <c r="AX1110" s="65"/>
      <c r="AY1110" s="65"/>
      <c r="AZ1110" s="65"/>
      <c r="BA1110" s="65"/>
      <c r="BB1110" s="65"/>
      <c r="BC1110" s="65"/>
      <c r="BD1110" s="65"/>
      <c r="BE1110" s="66"/>
    </row>
    <row r="1111" spans="1:57" s="48" customFormat="1" ht="37.5" customHeight="1" x14ac:dyDescent="0.2">
      <c r="A1111" s="677"/>
      <c r="B1111" s="730"/>
      <c r="C1111" s="706"/>
      <c r="D1111" s="470">
        <v>2022</v>
      </c>
      <c r="E1111" s="567">
        <f>F1111+G1111+H1111+I1111+J1111</f>
        <v>3.9109999999999999E-2</v>
      </c>
      <c r="F1111" s="567">
        <v>3.9109999999999999E-2</v>
      </c>
      <c r="G1111" s="567">
        <v>0</v>
      </c>
      <c r="H1111" s="567">
        <v>0</v>
      </c>
      <c r="I1111" s="567">
        <v>0</v>
      </c>
      <c r="J1111" s="567">
        <v>0</v>
      </c>
      <c r="K1111" s="52">
        <f t="shared" si="441"/>
        <v>3.9109999999999999E-2</v>
      </c>
      <c r="L1111" s="53"/>
      <c r="M1111" s="50"/>
      <c r="N1111" s="51"/>
      <c r="O1111" s="492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  <c r="AB1111" s="65"/>
      <c r="AC1111" s="65"/>
      <c r="AD1111" s="65"/>
      <c r="AE1111" s="65"/>
      <c r="AF1111" s="65"/>
      <c r="AG1111" s="65"/>
      <c r="AH1111" s="65"/>
      <c r="AI1111" s="65"/>
      <c r="AJ1111" s="65"/>
      <c r="AK1111" s="65"/>
      <c r="AL1111" s="65"/>
      <c r="AM1111" s="65"/>
      <c r="AN1111" s="65"/>
      <c r="AO1111" s="65"/>
      <c r="AP1111" s="65"/>
      <c r="AQ1111" s="65"/>
      <c r="AR1111" s="65"/>
      <c r="AS1111" s="65"/>
      <c r="AT1111" s="65"/>
      <c r="AU1111" s="65"/>
      <c r="AV1111" s="65"/>
      <c r="AW1111" s="65"/>
      <c r="AX1111" s="65"/>
      <c r="AY1111" s="65"/>
      <c r="AZ1111" s="65"/>
      <c r="BA1111" s="65"/>
      <c r="BB1111" s="65"/>
      <c r="BC1111" s="65"/>
      <c r="BD1111" s="65"/>
      <c r="BE1111" s="66"/>
    </row>
    <row r="1112" spans="1:57" s="48" customFormat="1" x14ac:dyDescent="0.2">
      <c r="A1112" s="675" t="s">
        <v>973</v>
      </c>
      <c r="B1112" s="705" t="s">
        <v>972</v>
      </c>
      <c r="C1112" s="706"/>
      <c r="D1112" s="46" t="s">
        <v>513</v>
      </c>
      <c r="E1112" s="567">
        <f>E1113</f>
        <v>4.2299999999999997E-2</v>
      </c>
      <c r="F1112" s="567">
        <f t="shared" ref="F1112:J1112" si="457">F1113</f>
        <v>4.2299999999999997E-2</v>
      </c>
      <c r="G1112" s="567">
        <f t="shared" si="457"/>
        <v>0</v>
      </c>
      <c r="H1112" s="567">
        <f t="shared" si="457"/>
        <v>0</v>
      </c>
      <c r="I1112" s="567">
        <f t="shared" si="457"/>
        <v>0</v>
      </c>
      <c r="J1112" s="567">
        <f t="shared" si="457"/>
        <v>0</v>
      </c>
      <c r="K1112" s="52">
        <f t="shared" si="441"/>
        <v>4.2299999999999997E-2</v>
      </c>
      <c r="L1112" s="53"/>
      <c r="M1112" s="50"/>
      <c r="N1112" s="51"/>
      <c r="O1112" s="492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  <c r="AC1112" s="65"/>
      <c r="AD1112" s="65"/>
      <c r="AE1112" s="65"/>
      <c r="AF1112" s="65"/>
      <c r="AG1112" s="65"/>
      <c r="AH1112" s="65"/>
      <c r="AI1112" s="65"/>
      <c r="AJ1112" s="65"/>
      <c r="AK1112" s="65"/>
      <c r="AL1112" s="65"/>
      <c r="AM1112" s="65"/>
      <c r="AN1112" s="65"/>
      <c r="AO1112" s="65"/>
      <c r="AP1112" s="65"/>
      <c r="AQ1112" s="65"/>
      <c r="AR1112" s="65"/>
      <c r="AS1112" s="65"/>
      <c r="AT1112" s="65"/>
      <c r="AU1112" s="65"/>
      <c r="AV1112" s="65"/>
      <c r="AW1112" s="65"/>
      <c r="AX1112" s="65"/>
      <c r="AY1112" s="65"/>
      <c r="AZ1112" s="65"/>
      <c r="BA1112" s="65"/>
      <c r="BB1112" s="65"/>
      <c r="BC1112" s="65"/>
      <c r="BD1112" s="65"/>
      <c r="BE1112" s="66"/>
    </row>
    <row r="1113" spans="1:57" s="48" customFormat="1" ht="44.25" customHeight="1" x14ac:dyDescent="0.2">
      <c r="A1113" s="677"/>
      <c r="B1113" s="730"/>
      <c r="C1113" s="706"/>
      <c r="D1113" s="470">
        <v>2024</v>
      </c>
      <c r="E1113" s="567">
        <f>F1113</f>
        <v>4.2299999999999997E-2</v>
      </c>
      <c r="F1113" s="567">
        <v>4.2299999999999997E-2</v>
      </c>
      <c r="G1113" s="567">
        <v>0</v>
      </c>
      <c r="H1113" s="567">
        <v>0</v>
      </c>
      <c r="I1113" s="567">
        <v>0</v>
      </c>
      <c r="J1113" s="567">
        <v>0</v>
      </c>
      <c r="K1113" s="52">
        <f t="shared" si="441"/>
        <v>4.2299999999999997E-2</v>
      </c>
      <c r="L1113" s="53"/>
      <c r="M1113" s="50"/>
      <c r="N1113" s="51"/>
      <c r="O1113" s="492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  <c r="AC1113" s="65"/>
      <c r="AD1113" s="65"/>
      <c r="AE1113" s="65"/>
      <c r="AF1113" s="65"/>
      <c r="AG1113" s="65"/>
      <c r="AH1113" s="65"/>
      <c r="AI1113" s="65"/>
      <c r="AJ1113" s="65"/>
      <c r="AK1113" s="65"/>
      <c r="AL1113" s="65"/>
      <c r="AM1113" s="65"/>
      <c r="AN1113" s="65"/>
      <c r="AO1113" s="65"/>
      <c r="AP1113" s="65"/>
      <c r="AQ1113" s="65"/>
      <c r="AR1113" s="65"/>
      <c r="AS1113" s="65"/>
      <c r="AT1113" s="65"/>
      <c r="AU1113" s="65"/>
      <c r="AV1113" s="65"/>
      <c r="AW1113" s="65"/>
      <c r="AX1113" s="65"/>
      <c r="AY1113" s="65"/>
      <c r="AZ1113" s="65"/>
      <c r="BA1113" s="65"/>
      <c r="BB1113" s="65"/>
      <c r="BC1113" s="65"/>
      <c r="BD1113" s="65"/>
      <c r="BE1113" s="66"/>
    </row>
    <row r="1114" spans="1:57" s="48" customFormat="1" x14ac:dyDescent="0.2">
      <c r="A1114" s="675" t="s">
        <v>975</v>
      </c>
      <c r="B1114" s="705" t="s">
        <v>974</v>
      </c>
      <c r="C1114" s="706"/>
      <c r="D1114" s="46" t="s">
        <v>513</v>
      </c>
      <c r="E1114" s="567">
        <f>E1115</f>
        <v>0.58819999999999995</v>
      </c>
      <c r="F1114" s="567">
        <f t="shared" ref="F1114:J1114" si="458">F1115</f>
        <v>0.58819999999999995</v>
      </c>
      <c r="G1114" s="567">
        <f t="shared" si="458"/>
        <v>0</v>
      </c>
      <c r="H1114" s="567">
        <f t="shared" si="458"/>
        <v>0</v>
      </c>
      <c r="I1114" s="567">
        <f t="shared" si="458"/>
        <v>0</v>
      </c>
      <c r="J1114" s="567">
        <f t="shared" si="458"/>
        <v>0</v>
      </c>
      <c r="K1114" s="52">
        <f t="shared" si="441"/>
        <v>0.58819999999999995</v>
      </c>
      <c r="L1114" s="53"/>
      <c r="M1114" s="50"/>
      <c r="N1114" s="51"/>
      <c r="O1114" s="492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  <c r="AC1114" s="65"/>
      <c r="AD1114" s="65"/>
      <c r="AE1114" s="65"/>
      <c r="AF1114" s="65"/>
      <c r="AG1114" s="65"/>
      <c r="AH1114" s="65"/>
      <c r="AI1114" s="65"/>
      <c r="AJ1114" s="65"/>
      <c r="AK1114" s="65"/>
      <c r="AL1114" s="65"/>
      <c r="AM1114" s="65"/>
      <c r="AN1114" s="65"/>
      <c r="AO1114" s="65"/>
      <c r="AP1114" s="65"/>
      <c r="AQ1114" s="65"/>
      <c r="AR1114" s="65"/>
      <c r="AS1114" s="65"/>
      <c r="AT1114" s="65"/>
      <c r="AU1114" s="65"/>
      <c r="AV1114" s="65"/>
      <c r="AW1114" s="65"/>
      <c r="AX1114" s="65"/>
      <c r="AY1114" s="65"/>
      <c r="AZ1114" s="65"/>
      <c r="BA1114" s="65"/>
      <c r="BB1114" s="65"/>
      <c r="BC1114" s="65"/>
      <c r="BD1114" s="65"/>
      <c r="BE1114" s="66"/>
    </row>
    <row r="1115" spans="1:57" s="48" customFormat="1" ht="24" customHeight="1" x14ac:dyDescent="0.2">
      <c r="A1115" s="677"/>
      <c r="B1115" s="730"/>
      <c r="C1115" s="706"/>
      <c r="D1115" s="470">
        <v>2024</v>
      </c>
      <c r="E1115" s="567">
        <f>F1115</f>
        <v>0.58819999999999995</v>
      </c>
      <c r="F1115" s="567">
        <v>0.58819999999999995</v>
      </c>
      <c r="G1115" s="567">
        <v>0</v>
      </c>
      <c r="H1115" s="567">
        <v>0</v>
      </c>
      <c r="I1115" s="567">
        <v>0</v>
      </c>
      <c r="J1115" s="567">
        <v>0</v>
      </c>
      <c r="K1115" s="52">
        <f t="shared" si="441"/>
        <v>0.58819999999999995</v>
      </c>
      <c r="L1115" s="53"/>
      <c r="M1115" s="50"/>
      <c r="N1115" s="51"/>
      <c r="O1115" s="492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  <c r="AF1115" s="65"/>
      <c r="AG1115" s="65"/>
      <c r="AH1115" s="65"/>
      <c r="AI1115" s="65"/>
      <c r="AJ1115" s="65"/>
      <c r="AK1115" s="65"/>
      <c r="AL1115" s="65"/>
      <c r="AM1115" s="65"/>
      <c r="AN1115" s="65"/>
      <c r="AO1115" s="65"/>
      <c r="AP1115" s="65"/>
      <c r="AQ1115" s="65"/>
      <c r="AR1115" s="65"/>
      <c r="AS1115" s="65"/>
      <c r="AT1115" s="65"/>
      <c r="AU1115" s="65"/>
      <c r="AV1115" s="65"/>
      <c r="AW1115" s="65"/>
      <c r="AX1115" s="65"/>
      <c r="AY1115" s="65"/>
      <c r="AZ1115" s="65"/>
      <c r="BA1115" s="65"/>
      <c r="BB1115" s="65"/>
      <c r="BC1115" s="65"/>
      <c r="BD1115" s="65"/>
      <c r="BE1115" s="66"/>
    </row>
    <row r="1116" spans="1:57" s="48" customFormat="1" ht="24" customHeight="1" x14ac:dyDescent="0.2">
      <c r="A1116" s="675" t="s">
        <v>978</v>
      </c>
      <c r="B1116" s="705" t="s">
        <v>977</v>
      </c>
      <c r="C1116" s="706"/>
      <c r="D1116" s="46" t="s">
        <v>513</v>
      </c>
      <c r="E1116" s="567">
        <f>E1117</f>
        <v>3.7679999999999998E-2</v>
      </c>
      <c r="F1116" s="567">
        <f t="shared" ref="F1116:J1116" si="459">F1117</f>
        <v>3.7679999999999998E-2</v>
      </c>
      <c r="G1116" s="567">
        <f t="shared" si="459"/>
        <v>0</v>
      </c>
      <c r="H1116" s="567">
        <f t="shared" si="459"/>
        <v>0</v>
      </c>
      <c r="I1116" s="567">
        <f t="shared" si="459"/>
        <v>0</v>
      </c>
      <c r="J1116" s="567">
        <f t="shared" si="459"/>
        <v>0</v>
      </c>
      <c r="K1116" s="52">
        <f t="shared" si="441"/>
        <v>3.7679999999999998E-2</v>
      </c>
      <c r="L1116" s="53"/>
      <c r="M1116" s="50"/>
      <c r="N1116" s="51"/>
      <c r="O1116" s="492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  <c r="AH1116" s="65"/>
      <c r="AI1116" s="65"/>
      <c r="AJ1116" s="65"/>
      <c r="AK1116" s="65"/>
      <c r="AL1116" s="65"/>
      <c r="AM1116" s="65"/>
      <c r="AN1116" s="65"/>
      <c r="AO1116" s="65"/>
      <c r="AP1116" s="65"/>
      <c r="AQ1116" s="65"/>
      <c r="AR1116" s="65"/>
      <c r="AS1116" s="65"/>
      <c r="AT1116" s="65"/>
      <c r="AU1116" s="65"/>
      <c r="AV1116" s="65"/>
      <c r="AW1116" s="65"/>
      <c r="AX1116" s="65"/>
      <c r="AY1116" s="65"/>
      <c r="AZ1116" s="65"/>
      <c r="BA1116" s="65"/>
      <c r="BB1116" s="65"/>
      <c r="BC1116" s="65"/>
      <c r="BD1116" s="65"/>
      <c r="BE1116" s="66"/>
    </row>
    <row r="1117" spans="1:57" s="48" customFormat="1" ht="43.5" customHeight="1" x14ac:dyDescent="0.2">
      <c r="A1117" s="677"/>
      <c r="B1117" s="730"/>
      <c r="C1117" s="730"/>
      <c r="D1117" s="456">
        <v>2023</v>
      </c>
      <c r="E1117" s="567">
        <f>F1117</f>
        <v>3.7679999999999998E-2</v>
      </c>
      <c r="F1117" s="567">
        <v>3.7679999999999998E-2</v>
      </c>
      <c r="G1117" s="567">
        <v>0</v>
      </c>
      <c r="H1117" s="567">
        <v>0</v>
      </c>
      <c r="I1117" s="567">
        <v>0</v>
      </c>
      <c r="J1117" s="567">
        <v>0</v>
      </c>
      <c r="K1117" s="52">
        <f t="shared" si="441"/>
        <v>3.7679999999999998E-2</v>
      </c>
      <c r="L1117" s="53"/>
      <c r="M1117" s="50"/>
      <c r="N1117" s="51"/>
      <c r="O1117" s="492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  <c r="AF1117" s="65"/>
      <c r="AG1117" s="65"/>
      <c r="AH1117" s="65"/>
      <c r="AI1117" s="65"/>
      <c r="AJ1117" s="65"/>
      <c r="AK1117" s="65"/>
      <c r="AL1117" s="65"/>
      <c r="AM1117" s="65"/>
      <c r="AN1117" s="65"/>
      <c r="AO1117" s="65"/>
      <c r="AP1117" s="65"/>
      <c r="AQ1117" s="65"/>
      <c r="AR1117" s="65"/>
      <c r="AS1117" s="65"/>
      <c r="AT1117" s="65"/>
      <c r="AU1117" s="65"/>
      <c r="AV1117" s="65"/>
      <c r="AW1117" s="65"/>
      <c r="AX1117" s="65"/>
      <c r="AY1117" s="65"/>
      <c r="AZ1117" s="65"/>
      <c r="BA1117" s="65"/>
      <c r="BB1117" s="65"/>
      <c r="BC1117" s="65"/>
      <c r="BD1117" s="65"/>
      <c r="BE1117" s="66"/>
    </row>
    <row r="1118" spans="1:57" s="48" customFormat="1" x14ac:dyDescent="0.2">
      <c r="A1118" s="675" t="s">
        <v>993</v>
      </c>
      <c r="B1118" s="728" t="s">
        <v>994</v>
      </c>
      <c r="C1118" s="478"/>
      <c r="D1118" s="46" t="s">
        <v>513</v>
      </c>
      <c r="E1118" s="567">
        <f>E1119+E1120+E1121</f>
        <v>2.6711</v>
      </c>
      <c r="F1118" s="567">
        <f t="shared" ref="F1118:J1121" si="460">F1119+F1120+F1121</f>
        <v>2.6711</v>
      </c>
      <c r="G1118" s="567">
        <f t="shared" si="460"/>
        <v>0</v>
      </c>
      <c r="H1118" s="567">
        <f t="shared" si="460"/>
        <v>0</v>
      </c>
      <c r="I1118" s="567">
        <f t="shared" si="460"/>
        <v>0</v>
      </c>
      <c r="J1118" s="567">
        <f t="shared" si="460"/>
        <v>0</v>
      </c>
      <c r="K1118" s="52">
        <f t="shared" si="441"/>
        <v>2.6711</v>
      </c>
      <c r="L1118" s="53"/>
      <c r="M1118" s="50"/>
      <c r="N1118" s="51"/>
      <c r="O1118" s="492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  <c r="AL1118" s="65"/>
      <c r="AM1118" s="65"/>
      <c r="AN1118" s="65"/>
      <c r="AO1118" s="65"/>
      <c r="AP1118" s="65"/>
      <c r="AQ1118" s="65"/>
      <c r="AR1118" s="65"/>
      <c r="AS1118" s="65"/>
      <c r="AT1118" s="65"/>
      <c r="AU1118" s="65"/>
      <c r="AV1118" s="65"/>
      <c r="AW1118" s="65"/>
      <c r="AX1118" s="65"/>
      <c r="AY1118" s="65"/>
      <c r="AZ1118" s="65"/>
      <c r="BA1118" s="65"/>
      <c r="BB1118" s="65"/>
      <c r="BC1118" s="65"/>
      <c r="BD1118" s="65"/>
      <c r="BE1118" s="66"/>
    </row>
    <row r="1119" spans="1:57" s="48" customFormat="1" x14ac:dyDescent="0.2">
      <c r="A1119" s="676"/>
      <c r="B1119" s="729"/>
      <c r="C1119" s="478"/>
      <c r="D1119" s="470">
        <v>2023</v>
      </c>
      <c r="E1119" s="567">
        <f>F1119</f>
        <v>0.83989999999999998</v>
      </c>
      <c r="F1119" s="567">
        <v>0.83989999999999998</v>
      </c>
      <c r="G1119" s="567">
        <f t="shared" si="460"/>
        <v>0</v>
      </c>
      <c r="H1119" s="567">
        <f t="shared" si="460"/>
        <v>0</v>
      </c>
      <c r="I1119" s="567">
        <f t="shared" si="460"/>
        <v>0</v>
      </c>
      <c r="J1119" s="567">
        <f t="shared" si="460"/>
        <v>0</v>
      </c>
      <c r="K1119" s="52">
        <f t="shared" si="441"/>
        <v>0.83989999999999998</v>
      </c>
      <c r="L1119" s="53"/>
      <c r="M1119" s="50"/>
      <c r="N1119" s="51"/>
      <c r="O1119" s="492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  <c r="AC1119" s="65"/>
      <c r="AD1119" s="65"/>
      <c r="AE1119" s="65"/>
      <c r="AF1119" s="65"/>
      <c r="AG1119" s="65"/>
      <c r="AH1119" s="65"/>
      <c r="AI1119" s="65"/>
      <c r="AJ1119" s="65"/>
      <c r="AK1119" s="65"/>
      <c r="AL1119" s="65"/>
      <c r="AM1119" s="65"/>
      <c r="AN1119" s="65"/>
      <c r="AO1119" s="65"/>
      <c r="AP1119" s="65"/>
      <c r="AQ1119" s="65"/>
      <c r="AR1119" s="65"/>
      <c r="AS1119" s="65"/>
      <c r="AT1119" s="65"/>
      <c r="AU1119" s="65"/>
      <c r="AV1119" s="65"/>
      <c r="AW1119" s="65"/>
      <c r="AX1119" s="65"/>
      <c r="AY1119" s="65"/>
      <c r="AZ1119" s="65"/>
      <c r="BA1119" s="65"/>
      <c r="BB1119" s="65"/>
      <c r="BC1119" s="65"/>
      <c r="BD1119" s="65"/>
      <c r="BE1119" s="66"/>
    </row>
    <row r="1120" spans="1:57" s="48" customFormat="1" x14ac:dyDescent="0.2">
      <c r="A1120" s="676"/>
      <c r="B1120" s="729"/>
      <c r="C1120" s="478"/>
      <c r="D1120" s="470">
        <v>2024</v>
      </c>
      <c r="E1120" s="567">
        <f t="shared" ref="E1120:E1121" si="461">F1120</f>
        <v>0.89770000000000005</v>
      </c>
      <c r="F1120" s="567">
        <v>0.89770000000000005</v>
      </c>
      <c r="G1120" s="567">
        <f t="shared" si="460"/>
        <v>0</v>
      </c>
      <c r="H1120" s="567">
        <f t="shared" si="460"/>
        <v>0</v>
      </c>
      <c r="I1120" s="567">
        <f t="shared" si="460"/>
        <v>0</v>
      </c>
      <c r="J1120" s="567">
        <f t="shared" si="460"/>
        <v>0</v>
      </c>
      <c r="K1120" s="52">
        <f t="shared" si="441"/>
        <v>0.89770000000000005</v>
      </c>
      <c r="L1120" s="53"/>
      <c r="M1120" s="50"/>
      <c r="N1120" s="51"/>
      <c r="O1120" s="492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  <c r="AF1120" s="65"/>
      <c r="AG1120" s="65"/>
      <c r="AH1120" s="65"/>
      <c r="AI1120" s="65"/>
      <c r="AJ1120" s="65"/>
      <c r="AK1120" s="65"/>
      <c r="AL1120" s="65"/>
      <c r="AM1120" s="65"/>
      <c r="AN1120" s="65"/>
      <c r="AO1120" s="65"/>
      <c r="AP1120" s="65"/>
      <c r="AQ1120" s="65"/>
      <c r="AR1120" s="65"/>
      <c r="AS1120" s="65"/>
      <c r="AT1120" s="65"/>
      <c r="AU1120" s="65"/>
      <c r="AV1120" s="65"/>
      <c r="AW1120" s="65"/>
      <c r="AX1120" s="65"/>
      <c r="AY1120" s="65"/>
      <c r="AZ1120" s="65"/>
      <c r="BA1120" s="65"/>
      <c r="BB1120" s="65"/>
      <c r="BC1120" s="65"/>
      <c r="BD1120" s="65"/>
      <c r="BE1120" s="66"/>
    </row>
    <row r="1121" spans="1:57" s="48" customFormat="1" x14ac:dyDescent="0.2">
      <c r="A1121" s="676"/>
      <c r="B1121" s="729"/>
      <c r="C1121" s="478"/>
      <c r="D1121" s="470">
        <v>2025</v>
      </c>
      <c r="E1121" s="567">
        <f t="shared" si="461"/>
        <v>0.9335</v>
      </c>
      <c r="F1121" s="567">
        <v>0.9335</v>
      </c>
      <c r="G1121" s="567">
        <f t="shared" si="460"/>
        <v>0</v>
      </c>
      <c r="H1121" s="567">
        <f t="shared" si="460"/>
        <v>0</v>
      </c>
      <c r="I1121" s="567">
        <f t="shared" si="460"/>
        <v>0</v>
      </c>
      <c r="J1121" s="567">
        <f t="shared" si="460"/>
        <v>0</v>
      </c>
      <c r="K1121" s="52">
        <f t="shared" si="441"/>
        <v>0.9335</v>
      </c>
      <c r="L1121" s="53"/>
      <c r="M1121" s="50"/>
      <c r="N1121" s="51"/>
      <c r="O1121" s="492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  <c r="AB1121" s="65"/>
      <c r="AC1121" s="65"/>
      <c r="AD1121" s="65"/>
      <c r="AE1121" s="65"/>
      <c r="AF1121" s="65"/>
      <c r="AG1121" s="65"/>
      <c r="AH1121" s="65"/>
      <c r="AI1121" s="65"/>
      <c r="AJ1121" s="65"/>
      <c r="AK1121" s="65"/>
      <c r="AL1121" s="65"/>
      <c r="AM1121" s="65"/>
      <c r="AN1121" s="65"/>
      <c r="AO1121" s="65"/>
      <c r="AP1121" s="65"/>
      <c r="AQ1121" s="65"/>
      <c r="AR1121" s="65"/>
      <c r="AS1121" s="65"/>
      <c r="AT1121" s="65"/>
      <c r="AU1121" s="65"/>
      <c r="AV1121" s="65"/>
      <c r="AW1121" s="65"/>
      <c r="AX1121" s="65"/>
      <c r="AY1121" s="65"/>
      <c r="AZ1121" s="65"/>
      <c r="BA1121" s="65"/>
      <c r="BB1121" s="65"/>
      <c r="BC1121" s="65"/>
      <c r="BD1121" s="65"/>
      <c r="BE1121" s="66"/>
    </row>
    <row r="1122" spans="1:57" s="48" customFormat="1" ht="11.25" customHeight="1" x14ac:dyDescent="0.2">
      <c r="A1122" s="714" t="s">
        <v>715</v>
      </c>
      <c r="B1122" s="649" t="s">
        <v>615</v>
      </c>
      <c r="C1122" s="727" t="s">
        <v>992</v>
      </c>
      <c r="D1122" s="46" t="s">
        <v>198</v>
      </c>
      <c r="E1122" s="58">
        <f>SUM(E1123:E1130)</f>
        <v>16.624889999999997</v>
      </c>
      <c r="F1122" s="58">
        <f>SUM(F1123:F1130)</f>
        <v>16.624889999999997</v>
      </c>
      <c r="G1122" s="58">
        <f t="shared" ref="G1122:I1122" si="462">SUM(G1123:G1130)</f>
        <v>0</v>
      </c>
      <c r="H1122" s="58">
        <f t="shared" si="462"/>
        <v>0</v>
      </c>
      <c r="I1122" s="58">
        <f t="shared" si="462"/>
        <v>0</v>
      </c>
      <c r="J1122" s="58">
        <f>J1131+J1148</f>
        <v>0</v>
      </c>
      <c r="K1122" s="52">
        <f t="shared" si="441"/>
        <v>16.624889999999997</v>
      </c>
      <c r="L1122" s="560"/>
      <c r="M1122" s="50"/>
      <c r="N1122" s="51"/>
      <c r="O1122" s="695" t="s">
        <v>600</v>
      </c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  <c r="AB1122" s="65"/>
      <c r="AC1122" s="65"/>
      <c r="AD1122" s="65"/>
      <c r="AE1122" s="65"/>
      <c r="AF1122" s="65"/>
      <c r="AG1122" s="65"/>
      <c r="AH1122" s="65"/>
      <c r="AI1122" s="65"/>
      <c r="AJ1122" s="65"/>
      <c r="AK1122" s="65"/>
      <c r="AL1122" s="65"/>
      <c r="AM1122" s="65"/>
      <c r="AN1122" s="65"/>
      <c r="AO1122" s="65"/>
      <c r="AP1122" s="65"/>
      <c r="AQ1122" s="65"/>
      <c r="AR1122" s="65"/>
      <c r="AS1122" s="65"/>
      <c r="AT1122" s="65"/>
      <c r="AU1122" s="65"/>
      <c r="AV1122" s="65"/>
      <c r="AW1122" s="65"/>
      <c r="AX1122" s="65"/>
      <c r="AY1122" s="65"/>
      <c r="AZ1122" s="65"/>
      <c r="BA1122" s="65"/>
      <c r="BB1122" s="65"/>
      <c r="BC1122" s="65"/>
      <c r="BD1122" s="65"/>
      <c r="BE1122" s="66"/>
    </row>
    <row r="1123" spans="1:57" s="48" customFormat="1" x14ac:dyDescent="0.2">
      <c r="A1123" s="715"/>
      <c r="B1123" s="650"/>
      <c r="C1123" s="727"/>
      <c r="D1123" s="46">
        <v>2019</v>
      </c>
      <c r="E1123" s="560">
        <f>E1132+E1157+E1166</f>
        <v>1.7753899999999998</v>
      </c>
      <c r="F1123" s="560">
        <f>F1132+F1157+F1166</f>
        <v>1.7753899999999998</v>
      </c>
      <c r="G1123" s="560">
        <f t="shared" ref="G1123:J1125" si="463">G1132+G1157</f>
        <v>0</v>
      </c>
      <c r="H1123" s="560">
        <f t="shared" si="463"/>
        <v>0</v>
      </c>
      <c r="I1123" s="560">
        <f t="shared" si="463"/>
        <v>0</v>
      </c>
      <c r="J1123" s="560">
        <f t="shared" si="463"/>
        <v>0</v>
      </c>
      <c r="K1123" s="52">
        <f t="shared" si="441"/>
        <v>1.7753899999999998</v>
      </c>
      <c r="L1123" s="560"/>
      <c r="M1123" s="50"/>
      <c r="N1123" s="51"/>
      <c r="O1123" s="717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  <c r="AC1123" s="65"/>
      <c r="AD1123" s="65"/>
      <c r="AE1123" s="65"/>
      <c r="AF1123" s="65"/>
      <c r="AG1123" s="65"/>
      <c r="AH1123" s="65"/>
      <c r="AI1123" s="65"/>
      <c r="AJ1123" s="65"/>
      <c r="AK1123" s="65"/>
      <c r="AL1123" s="65"/>
      <c r="AM1123" s="65"/>
      <c r="AN1123" s="65"/>
      <c r="AO1123" s="65"/>
      <c r="AP1123" s="65"/>
      <c r="AQ1123" s="65"/>
      <c r="AR1123" s="65"/>
      <c r="AS1123" s="65"/>
      <c r="AT1123" s="65"/>
      <c r="AU1123" s="65"/>
      <c r="AV1123" s="65"/>
      <c r="AW1123" s="65"/>
      <c r="AX1123" s="65"/>
      <c r="AY1123" s="65"/>
      <c r="AZ1123" s="65"/>
      <c r="BA1123" s="65"/>
      <c r="BB1123" s="65"/>
      <c r="BC1123" s="65"/>
      <c r="BD1123" s="65"/>
      <c r="BE1123" s="66"/>
    </row>
    <row r="1124" spans="1:57" s="48" customFormat="1" x14ac:dyDescent="0.2">
      <c r="A1124" s="715"/>
      <c r="B1124" s="650"/>
      <c r="C1124" s="727"/>
      <c r="D1124" s="46">
        <v>2020</v>
      </c>
      <c r="E1124" s="560">
        <f>E1133+E1150+E1167</f>
        <v>1.3309</v>
      </c>
      <c r="F1124" s="560">
        <f>F1133+F1150+F1167</f>
        <v>1.3309</v>
      </c>
      <c r="G1124" s="560">
        <f t="shared" si="463"/>
        <v>0</v>
      </c>
      <c r="H1124" s="560">
        <f t="shared" si="463"/>
        <v>0</v>
      </c>
      <c r="I1124" s="560">
        <f t="shared" si="463"/>
        <v>0</v>
      </c>
      <c r="J1124" s="560">
        <f t="shared" si="463"/>
        <v>0</v>
      </c>
      <c r="K1124" s="52">
        <f t="shared" si="441"/>
        <v>1.3309</v>
      </c>
      <c r="L1124" s="560"/>
      <c r="M1124" s="50"/>
      <c r="N1124" s="51"/>
      <c r="O1124" s="717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  <c r="AF1124" s="65"/>
      <c r="AG1124" s="65"/>
      <c r="AH1124" s="65"/>
      <c r="AI1124" s="65"/>
      <c r="AJ1124" s="65"/>
      <c r="AK1124" s="65"/>
      <c r="AL1124" s="65"/>
      <c r="AM1124" s="65"/>
      <c r="AN1124" s="65"/>
      <c r="AO1124" s="65"/>
      <c r="AP1124" s="65"/>
      <c r="AQ1124" s="65"/>
      <c r="AR1124" s="65"/>
      <c r="AS1124" s="65"/>
      <c r="AT1124" s="65"/>
      <c r="AU1124" s="65"/>
      <c r="AV1124" s="65"/>
      <c r="AW1124" s="65"/>
      <c r="AX1124" s="65"/>
      <c r="AY1124" s="65"/>
      <c r="AZ1124" s="65"/>
      <c r="BA1124" s="65"/>
      <c r="BB1124" s="65"/>
      <c r="BC1124" s="65"/>
      <c r="BD1124" s="65"/>
      <c r="BE1124" s="66"/>
    </row>
    <row r="1125" spans="1:57" s="48" customFormat="1" x14ac:dyDescent="0.2">
      <c r="A1125" s="715"/>
      <c r="B1125" s="650"/>
      <c r="C1125" s="727"/>
      <c r="D1125" s="46">
        <v>2021</v>
      </c>
      <c r="E1125" s="560">
        <f>E1134+E1159+E1168</f>
        <v>1.3841000000000001</v>
      </c>
      <c r="F1125" s="560">
        <f>F1134+F1159+F1168</f>
        <v>1.3841000000000001</v>
      </c>
      <c r="G1125" s="560">
        <f t="shared" si="463"/>
        <v>0</v>
      </c>
      <c r="H1125" s="560">
        <f t="shared" si="463"/>
        <v>0</v>
      </c>
      <c r="I1125" s="560">
        <f t="shared" si="463"/>
        <v>0</v>
      </c>
      <c r="J1125" s="560">
        <f t="shared" si="463"/>
        <v>0</v>
      </c>
      <c r="K1125" s="52">
        <f t="shared" si="441"/>
        <v>1.3841000000000001</v>
      </c>
      <c r="L1125" s="560"/>
      <c r="M1125" s="50"/>
      <c r="N1125" s="51"/>
      <c r="O1125" s="717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  <c r="AF1125" s="65"/>
      <c r="AG1125" s="65"/>
      <c r="AH1125" s="65"/>
      <c r="AI1125" s="65"/>
      <c r="AJ1125" s="65"/>
      <c r="AK1125" s="65"/>
      <c r="AL1125" s="65"/>
      <c r="AM1125" s="65"/>
      <c r="AN1125" s="65"/>
      <c r="AO1125" s="65"/>
      <c r="AP1125" s="65"/>
      <c r="AQ1125" s="65"/>
      <c r="AR1125" s="65"/>
      <c r="AS1125" s="65"/>
      <c r="AT1125" s="65"/>
      <c r="AU1125" s="65"/>
      <c r="AV1125" s="65"/>
      <c r="AW1125" s="65"/>
      <c r="AX1125" s="65"/>
      <c r="AY1125" s="65"/>
      <c r="AZ1125" s="65"/>
      <c r="BA1125" s="65"/>
      <c r="BB1125" s="65"/>
      <c r="BC1125" s="65"/>
      <c r="BD1125" s="65"/>
      <c r="BE1125" s="66"/>
    </row>
    <row r="1126" spans="1:57" s="48" customFormat="1" x14ac:dyDescent="0.2">
      <c r="A1126" s="716"/>
      <c r="B1126" s="701"/>
      <c r="C1126" s="727"/>
      <c r="D1126" s="46">
        <v>2022</v>
      </c>
      <c r="E1126" s="560">
        <f>E1135+E1160+E1169</f>
        <v>1.4395</v>
      </c>
      <c r="F1126" s="560">
        <f t="shared" ref="F1126:J1126" si="464">F1135+F1160+F1169</f>
        <v>1.4395</v>
      </c>
      <c r="G1126" s="560">
        <f t="shared" si="464"/>
        <v>0</v>
      </c>
      <c r="H1126" s="560">
        <f t="shared" si="464"/>
        <v>0</v>
      </c>
      <c r="I1126" s="560">
        <f t="shared" si="464"/>
        <v>0</v>
      </c>
      <c r="J1126" s="560">
        <f t="shared" si="464"/>
        <v>0</v>
      </c>
      <c r="K1126" s="52">
        <f t="shared" si="441"/>
        <v>1.4395</v>
      </c>
      <c r="L1126" s="560"/>
      <c r="M1126" s="50"/>
      <c r="N1126" s="51"/>
      <c r="O1126" s="717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  <c r="AC1126" s="65"/>
      <c r="AD1126" s="65"/>
      <c r="AE1126" s="65"/>
      <c r="AF1126" s="65"/>
      <c r="AG1126" s="65"/>
      <c r="AH1126" s="65"/>
      <c r="AI1126" s="65"/>
      <c r="AJ1126" s="65"/>
      <c r="AK1126" s="65"/>
      <c r="AL1126" s="65"/>
      <c r="AM1126" s="65"/>
      <c r="AN1126" s="65"/>
      <c r="AO1126" s="65"/>
      <c r="AP1126" s="65"/>
      <c r="AQ1126" s="65"/>
      <c r="AR1126" s="65"/>
      <c r="AS1126" s="65"/>
      <c r="AT1126" s="65"/>
      <c r="AU1126" s="65"/>
      <c r="AV1126" s="65"/>
      <c r="AW1126" s="65"/>
      <c r="AX1126" s="65"/>
      <c r="AY1126" s="65"/>
      <c r="AZ1126" s="65"/>
      <c r="BA1126" s="65"/>
      <c r="BB1126" s="65"/>
      <c r="BC1126" s="65"/>
      <c r="BD1126" s="65"/>
      <c r="BE1126" s="66"/>
    </row>
    <row r="1127" spans="1:57" s="48" customFormat="1" x14ac:dyDescent="0.2">
      <c r="A1127" s="716"/>
      <c r="B1127" s="701"/>
      <c r="C1127" s="727"/>
      <c r="D1127" s="46">
        <v>2023</v>
      </c>
      <c r="E1127" s="560">
        <f>E1136+E1161+E1170</f>
        <v>1.9879</v>
      </c>
      <c r="F1127" s="560">
        <f t="shared" ref="F1127:J1127" si="465">F1136+F1161+F1170</f>
        <v>1.9879</v>
      </c>
      <c r="G1127" s="560">
        <f t="shared" si="465"/>
        <v>0</v>
      </c>
      <c r="H1127" s="560">
        <f t="shared" si="465"/>
        <v>0</v>
      </c>
      <c r="I1127" s="560">
        <f t="shared" si="465"/>
        <v>0</v>
      </c>
      <c r="J1127" s="560">
        <f t="shared" si="465"/>
        <v>0</v>
      </c>
      <c r="K1127" s="52">
        <f t="shared" si="441"/>
        <v>1.9879</v>
      </c>
      <c r="L1127" s="560"/>
      <c r="M1127" s="50"/>
      <c r="N1127" s="51"/>
      <c r="O1127" s="717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  <c r="AC1127" s="65"/>
      <c r="AD1127" s="65"/>
      <c r="AE1127" s="65"/>
      <c r="AF1127" s="65"/>
      <c r="AG1127" s="65"/>
      <c r="AH1127" s="65"/>
      <c r="AI1127" s="65"/>
      <c r="AJ1127" s="65"/>
      <c r="AK1127" s="65"/>
      <c r="AL1127" s="65"/>
      <c r="AM1127" s="65"/>
      <c r="AN1127" s="65"/>
      <c r="AO1127" s="65"/>
      <c r="AP1127" s="65"/>
      <c r="AQ1127" s="65"/>
      <c r="AR1127" s="65"/>
      <c r="AS1127" s="65"/>
      <c r="AT1127" s="65"/>
      <c r="AU1127" s="65"/>
      <c r="AV1127" s="65"/>
      <c r="AW1127" s="65"/>
      <c r="AX1127" s="65"/>
      <c r="AY1127" s="65"/>
      <c r="AZ1127" s="65"/>
      <c r="BA1127" s="65"/>
      <c r="BB1127" s="65"/>
      <c r="BC1127" s="65"/>
      <c r="BD1127" s="65"/>
      <c r="BE1127" s="66"/>
    </row>
    <row r="1128" spans="1:57" s="48" customFormat="1" x14ac:dyDescent="0.2">
      <c r="A1128" s="716"/>
      <c r="B1128" s="701"/>
      <c r="C1128" s="727"/>
      <c r="D1128" s="46">
        <v>2024</v>
      </c>
      <c r="E1128" s="560">
        <f>E1137+E1162+E1171</f>
        <v>1.3803000000000001</v>
      </c>
      <c r="F1128" s="560">
        <f t="shared" ref="F1128:J1128" si="466">F1137+F1162+F1171</f>
        <v>1.3803000000000001</v>
      </c>
      <c r="G1128" s="560">
        <f t="shared" si="466"/>
        <v>0</v>
      </c>
      <c r="H1128" s="560">
        <f t="shared" si="466"/>
        <v>0</v>
      </c>
      <c r="I1128" s="560">
        <f t="shared" si="466"/>
        <v>0</v>
      </c>
      <c r="J1128" s="560">
        <f t="shared" si="466"/>
        <v>0</v>
      </c>
      <c r="K1128" s="52">
        <f t="shared" si="441"/>
        <v>1.3803000000000001</v>
      </c>
      <c r="L1128" s="560"/>
      <c r="M1128" s="50"/>
      <c r="N1128" s="51"/>
      <c r="O1128" s="717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  <c r="AC1128" s="65"/>
      <c r="AD1128" s="65"/>
      <c r="AE1128" s="65"/>
      <c r="AF1128" s="65"/>
      <c r="AG1128" s="65"/>
      <c r="AH1128" s="65"/>
      <c r="AI1128" s="65"/>
      <c r="AJ1128" s="65"/>
      <c r="AK1128" s="65"/>
      <c r="AL1128" s="65"/>
      <c r="AM1128" s="65"/>
      <c r="AN1128" s="65"/>
      <c r="AO1128" s="65"/>
      <c r="AP1128" s="65"/>
      <c r="AQ1128" s="65"/>
      <c r="AR1128" s="65"/>
      <c r="AS1128" s="65"/>
      <c r="AT1128" s="65"/>
      <c r="AU1128" s="65"/>
      <c r="AV1128" s="65"/>
      <c r="AW1128" s="65"/>
      <c r="AX1128" s="65"/>
      <c r="AY1128" s="65"/>
      <c r="AZ1128" s="65"/>
      <c r="BA1128" s="65"/>
      <c r="BB1128" s="65"/>
      <c r="BC1128" s="65"/>
      <c r="BD1128" s="65"/>
      <c r="BE1128" s="66"/>
    </row>
    <row r="1129" spans="1:57" s="48" customFormat="1" x14ac:dyDescent="0.2">
      <c r="A1129" s="716"/>
      <c r="B1129" s="701"/>
      <c r="C1129" s="727"/>
      <c r="D1129" s="46">
        <v>2025</v>
      </c>
      <c r="E1129" s="560">
        <f>E1138+E1163+E1172</f>
        <v>2.5095000000000001</v>
      </c>
      <c r="F1129" s="560">
        <f t="shared" ref="F1129:J1129" si="467">F1138+F1163+F1172</f>
        <v>2.5095000000000001</v>
      </c>
      <c r="G1129" s="560">
        <f t="shared" si="467"/>
        <v>0</v>
      </c>
      <c r="H1129" s="560">
        <f t="shared" si="467"/>
        <v>0</v>
      </c>
      <c r="I1129" s="560">
        <f t="shared" si="467"/>
        <v>0</v>
      </c>
      <c r="J1129" s="560">
        <f t="shared" si="467"/>
        <v>0</v>
      </c>
      <c r="K1129" s="52">
        <f t="shared" si="441"/>
        <v>2.5095000000000001</v>
      </c>
      <c r="L1129" s="560"/>
      <c r="M1129" s="50"/>
      <c r="N1129" s="51"/>
      <c r="O1129" s="717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  <c r="AC1129" s="65"/>
      <c r="AD1129" s="65"/>
      <c r="AE1129" s="65"/>
      <c r="AF1129" s="65"/>
      <c r="AG1129" s="65"/>
      <c r="AH1129" s="65"/>
      <c r="AI1129" s="65"/>
      <c r="AJ1129" s="65"/>
      <c r="AK1129" s="65"/>
      <c r="AL1129" s="65"/>
      <c r="AM1129" s="65"/>
      <c r="AN1129" s="65"/>
      <c r="AO1129" s="65"/>
      <c r="AP1129" s="65"/>
      <c r="AQ1129" s="65"/>
      <c r="AR1129" s="65"/>
      <c r="AS1129" s="65"/>
      <c r="AT1129" s="65"/>
      <c r="AU1129" s="65"/>
      <c r="AV1129" s="65"/>
      <c r="AW1129" s="65"/>
      <c r="AX1129" s="65"/>
      <c r="AY1129" s="65"/>
      <c r="AZ1129" s="65"/>
      <c r="BA1129" s="65"/>
      <c r="BB1129" s="65"/>
      <c r="BC1129" s="65"/>
      <c r="BD1129" s="65"/>
      <c r="BE1129" s="66"/>
    </row>
    <row r="1130" spans="1:57" s="48" customFormat="1" x14ac:dyDescent="0.2">
      <c r="A1130" s="716"/>
      <c r="B1130" s="701"/>
      <c r="C1130" s="727"/>
      <c r="D1130" s="46">
        <v>2026</v>
      </c>
      <c r="E1130" s="560">
        <f>E1139+E1164</f>
        <v>4.8173000000000004</v>
      </c>
      <c r="F1130" s="560">
        <f t="shared" ref="F1130:J1130" si="468">F1139+F1164</f>
        <v>4.8173000000000004</v>
      </c>
      <c r="G1130" s="560">
        <f t="shared" si="468"/>
        <v>0</v>
      </c>
      <c r="H1130" s="560">
        <f t="shared" si="468"/>
        <v>0</v>
      </c>
      <c r="I1130" s="560">
        <f t="shared" si="468"/>
        <v>0</v>
      </c>
      <c r="J1130" s="560">
        <f t="shared" si="468"/>
        <v>0</v>
      </c>
      <c r="K1130" s="52">
        <f t="shared" si="441"/>
        <v>4.8173000000000004</v>
      </c>
      <c r="L1130" s="560"/>
      <c r="M1130" s="50"/>
      <c r="N1130" s="51"/>
      <c r="O1130" s="717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  <c r="AC1130" s="65"/>
      <c r="AD1130" s="65"/>
      <c r="AE1130" s="65"/>
      <c r="AF1130" s="65"/>
      <c r="AG1130" s="65"/>
      <c r="AH1130" s="65"/>
      <c r="AI1130" s="65"/>
      <c r="AJ1130" s="65"/>
      <c r="AK1130" s="65"/>
      <c r="AL1130" s="65"/>
      <c r="AM1130" s="65"/>
      <c r="AN1130" s="65"/>
      <c r="AO1130" s="65"/>
      <c r="AP1130" s="65"/>
      <c r="AQ1130" s="65"/>
      <c r="AR1130" s="65"/>
      <c r="AS1130" s="65"/>
      <c r="AT1130" s="65"/>
      <c r="AU1130" s="65"/>
      <c r="AV1130" s="65"/>
      <c r="AW1130" s="65"/>
      <c r="AX1130" s="65"/>
      <c r="AY1130" s="65"/>
      <c r="AZ1130" s="65"/>
      <c r="BA1130" s="65"/>
      <c r="BB1130" s="65"/>
      <c r="BC1130" s="65"/>
      <c r="BD1130" s="65"/>
      <c r="BE1130" s="66"/>
    </row>
    <row r="1131" spans="1:57" s="48" customFormat="1" x14ac:dyDescent="0.2">
      <c r="A1131" s="718" t="s">
        <v>716</v>
      </c>
      <c r="B1131" s="720" t="s">
        <v>500</v>
      </c>
      <c r="C1131" s="569"/>
      <c r="D1131" s="46" t="s">
        <v>198</v>
      </c>
      <c r="E1131" s="58">
        <f>E1132+E1133+E1134+E1135+E1136+E1137+E1138+E1139</f>
        <v>6.6876999999999995</v>
      </c>
      <c r="F1131" s="58">
        <f>F1132+F1133+F1134+F1135+F1136+F1137+F1138+F1139</f>
        <v>6.6876999999999995</v>
      </c>
      <c r="G1131" s="58">
        <f t="shared" ref="G1131:J1131" si="469">G1132+G1133+G1134+G1135+G1136+G1137+G1138+G1139</f>
        <v>0</v>
      </c>
      <c r="H1131" s="58">
        <f t="shared" si="469"/>
        <v>0</v>
      </c>
      <c r="I1131" s="58">
        <f t="shared" si="469"/>
        <v>0</v>
      </c>
      <c r="J1131" s="58">
        <f t="shared" si="469"/>
        <v>0</v>
      </c>
      <c r="K1131" s="52">
        <f t="shared" si="441"/>
        <v>6.6876999999999995</v>
      </c>
      <c r="L1131" s="560"/>
      <c r="M1131" s="50"/>
      <c r="N1131" s="51"/>
      <c r="O1131" s="717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  <c r="AC1131" s="65"/>
      <c r="AD1131" s="65"/>
      <c r="AE1131" s="65"/>
      <c r="AF1131" s="65"/>
      <c r="AG1131" s="65"/>
      <c r="AH1131" s="65"/>
      <c r="AI1131" s="65"/>
      <c r="AJ1131" s="65"/>
      <c r="AK1131" s="65"/>
      <c r="AL1131" s="65"/>
      <c r="AM1131" s="65"/>
      <c r="AN1131" s="65"/>
      <c r="AO1131" s="65"/>
      <c r="AP1131" s="65"/>
      <c r="AQ1131" s="65"/>
      <c r="AR1131" s="65"/>
      <c r="AS1131" s="65"/>
      <c r="AT1131" s="65"/>
      <c r="AU1131" s="65"/>
      <c r="AV1131" s="65"/>
      <c r="AW1131" s="65"/>
      <c r="AX1131" s="65"/>
      <c r="AY1131" s="65"/>
      <c r="AZ1131" s="65"/>
      <c r="BA1131" s="65"/>
      <c r="BB1131" s="65"/>
      <c r="BC1131" s="65"/>
      <c r="BD1131" s="65"/>
      <c r="BE1131" s="66"/>
    </row>
    <row r="1132" spans="1:57" s="48" customFormat="1" ht="12.75" customHeight="1" x14ac:dyDescent="0.2">
      <c r="A1132" s="719"/>
      <c r="B1132" s="721"/>
      <c r="C1132" s="569"/>
      <c r="D1132" s="470">
        <v>2019</v>
      </c>
      <c r="E1132" s="567">
        <f>F1132+G1132+H1132+I1132+J1132</f>
        <v>0.74209999999999998</v>
      </c>
      <c r="F1132" s="567">
        <f>F1140</f>
        <v>0.74209999999999998</v>
      </c>
      <c r="G1132" s="567">
        <f t="shared" ref="G1132:J1133" si="470">G1140</f>
        <v>0</v>
      </c>
      <c r="H1132" s="567">
        <f t="shared" si="470"/>
        <v>0</v>
      </c>
      <c r="I1132" s="567">
        <f t="shared" si="470"/>
        <v>0</v>
      </c>
      <c r="J1132" s="567">
        <f t="shared" si="470"/>
        <v>0</v>
      </c>
      <c r="K1132" s="52">
        <f t="shared" si="441"/>
        <v>0.74209999999999998</v>
      </c>
      <c r="L1132" s="540"/>
      <c r="M1132" s="50"/>
      <c r="N1132" s="51"/>
      <c r="O1132" s="717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  <c r="AC1132" s="65"/>
      <c r="AD1132" s="65"/>
      <c r="AE1132" s="65"/>
      <c r="AF1132" s="65"/>
      <c r="AG1132" s="65"/>
      <c r="AH1132" s="65"/>
      <c r="AI1132" s="65"/>
      <c r="AJ1132" s="65"/>
      <c r="AK1132" s="65"/>
      <c r="AL1132" s="65"/>
      <c r="AM1132" s="65"/>
      <c r="AN1132" s="65"/>
      <c r="AO1132" s="65"/>
      <c r="AP1132" s="65"/>
      <c r="AQ1132" s="65"/>
      <c r="AR1132" s="65"/>
      <c r="AS1132" s="65"/>
      <c r="AT1132" s="65"/>
      <c r="AU1132" s="65"/>
      <c r="AV1132" s="65"/>
      <c r="AW1132" s="65"/>
      <c r="AX1132" s="65"/>
      <c r="AY1132" s="65"/>
      <c r="AZ1132" s="65"/>
      <c r="BA1132" s="65"/>
      <c r="BB1132" s="65"/>
      <c r="BC1132" s="65"/>
      <c r="BD1132" s="65"/>
      <c r="BE1132" s="66"/>
    </row>
    <row r="1133" spans="1:57" s="48" customFormat="1" ht="12.75" customHeight="1" x14ac:dyDescent="0.2">
      <c r="A1133" s="719"/>
      <c r="B1133" s="721"/>
      <c r="C1133" s="569"/>
      <c r="D1133" s="470">
        <v>2020</v>
      </c>
      <c r="E1133" s="567">
        <f t="shared" ref="E1133:E1139" si="471">F1133+G1133+H1133+I1133+J1133</f>
        <v>0.4511</v>
      </c>
      <c r="F1133" s="567">
        <f>F1141</f>
        <v>0.4511</v>
      </c>
      <c r="G1133" s="567">
        <f t="shared" si="470"/>
        <v>0</v>
      </c>
      <c r="H1133" s="567">
        <f t="shared" si="470"/>
        <v>0</v>
      </c>
      <c r="I1133" s="567">
        <f t="shared" si="470"/>
        <v>0</v>
      </c>
      <c r="J1133" s="567">
        <f t="shared" si="470"/>
        <v>0</v>
      </c>
      <c r="K1133" s="52">
        <f t="shared" si="441"/>
        <v>0.4511</v>
      </c>
      <c r="L1133" s="540"/>
      <c r="M1133" s="50"/>
      <c r="N1133" s="51"/>
      <c r="O1133" s="717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  <c r="AB1133" s="65"/>
      <c r="AC1133" s="65"/>
      <c r="AD1133" s="65"/>
      <c r="AE1133" s="65"/>
      <c r="AF1133" s="65"/>
      <c r="AG1133" s="65"/>
      <c r="AH1133" s="65"/>
      <c r="AI1133" s="65"/>
      <c r="AJ1133" s="65"/>
      <c r="AK1133" s="65"/>
      <c r="AL1133" s="65"/>
      <c r="AM1133" s="65"/>
      <c r="AN1133" s="65"/>
      <c r="AO1133" s="65"/>
      <c r="AP1133" s="65"/>
      <c r="AQ1133" s="65"/>
      <c r="AR1133" s="65"/>
      <c r="AS1133" s="65"/>
      <c r="AT1133" s="65"/>
      <c r="AU1133" s="65"/>
      <c r="AV1133" s="65"/>
      <c r="AW1133" s="65"/>
      <c r="AX1133" s="65"/>
      <c r="AY1133" s="65"/>
      <c r="AZ1133" s="65"/>
      <c r="BA1133" s="65"/>
      <c r="BB1133" s="65"/>
      <c r="BC1133" s="65"/>
      <c r="BD1133" s="65"/>
      <c r="BE1133" s="66"/>
    </row>
    <row r="1134" spans="1:57" s="48" customFormat="1" ht="12" customHeight="1" x14ac:dyDescent="0.2">
      <c r="A1134" s="719"/>
      <c r="B1134" s="721"/>
      <c r="C1134" s="569"/>
      <c r="D1134" s="470">
        <v>2021</v>
      </c>
      <c r="E1134" s="567">
        <f>F1134+G1134+H1134+I1134+J1134</f>
        <v>0.46910000000000002</v>
      </c>
      <c r="F1134" s="567">
        <f>F1142</f>
        <v>0.46910000000000002</v>
      </c>
      <c r="G1134" s="567">
        <f t="shared" ref="G1134:J1135" si="472">G1147</f>
        <v>0</v>
      </c>
      <c r="H1134" s="567">
        <f t="shared" si="472"/>
        <v>0</v>
      </c>
      <c r="I1134" s="567">
        <f t="shared" si="472"/>
        <v>0</v>
      </c>
      <c r="J1134" s="567">
        <f t="shared" si="472"/>
        <v>0</v>
      </c>
      <c r="K1134" s="52">
        <f t="shared" si="441"/>
        <v>0.46910000000000002</v>
      </c>
      <c r="L1134" s="540"/>
      <c r="M1134" s="50"/>
      <c r="N1134" s="51"/>
      <c r="O1134" s="717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  <c r="AB1134" s="65"/>
      <c r="AC1134" s="65"/>
      <c r="AD1134" s="65"/>
      <c r="AE1134" s="65"/>
      <c r="AF1134" s="65"/>
      <c r="AG1134" s="65"/>
      <c r="AH1134" s="65"/>
      <c r="AI1134" s="65"/>
      <c r="AJ1134" s="65"/>
      <c r="AK1134" s="65"/>
      <c r="AL1134" s="65"/>
      <c r="AM1134" s="65"/>
      <c r="AN1134" s="65"/>
      <c r="AO1134" s="65"/>
      <c r="AP1134" s="65"/>
      <c r="AQ1134" s="65"/>
      <c r="AR1134" s="65"/>
      <c r="AS1134" s="65"/>
      <c r="AT1134" s="65"/>
      <c r="AU1134" s="65"/>
      <c r="AV1134" s="65"/>
      <c r="AW1134" s="65"/>
      <c r="AX1134" s="65"/>
      <c r="AY1134" s="65"/>
      <c r="AZ1134" s="65"/>
      <c r="BA1134" s="65"/>
      <c r="BB1134" s="65"/>
      <c r="BC1134" s="65"/>
      <c r="BD1134" s="65"/>
      <c r="BE1134" s="66"/>
    </row>
    <row r="1135" spans="1:57" s="48" customFormat="1" ht="12" customHeight="1" x14ac:dyDescent="0.2">
      <c r="A1135" s="719"/>
      <c r="B1135" s="721"/>
      <c r="C1135" s="569"/>
      <c r="D1135" s="470">
        <v>2022</v>
      </c>
      <c r="E1135" s="567">
        <f t="shared" si="471"/>
        <v>0.4879</v>
      </c>
      <c r="F1135" s="567">
        <f>F1143</f>
        <v>0.4879</v>
      </c>
      <c r="G1135" s="567">
        <f t="shared" si="472"/>
        <v>0</v>
      </c>
      <c r="H1135" s="567">
        <f t="shared" si="472"/>
        <v>0</v>
      </c>
      <c r="I1135" s="567">
        <f t="shared" si="472"/>
        <v>0</v>
      </c>
      <c r="J1135" s="567">
        <f t="shared" si="472"/>
        <v>0</v>
      </c>
      <c r="K1135" s="52">
        <f t="shared" si="441"/>
        <v>0.4879</v>
      </c>
      <c r="L1135" s="540"/>
      <c r="M1135" s="50"/>
      <c r="N1135" s="51"/>
      <c r="O1135" s="717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  <c r="AF1135" s="65"/>
      <c r="AG1135" s="65"/>
      <c r="AH1135" s="65"/>
      <c r="AI1135" s="65"/>
      <c r="AJ1135" s="65"/>
      <c r="AK1135" s="65"/>
      <c r="AL1135" s="65"/>
      <c r="AM1135" s="65"/>
      <c r="AN1135" s="65"/>
      <c r="AO1135" s="65"/>
      <c r="AP1135" s="65"/>
      <c r="AQ1135" s="65"/>
      <c r="AR1135" s="65"/>
      <c r="AS1135" s="65"/>
      <c r="AT1135" s="65"/>
      <c r="AU1135" s="65"/>
      <c r="AV1135" s="65"/>
      <c r="AW1135" s="65"/>
      <c r="AX1135" s="65"/>
      <c r="AY1135" s="65"/>
      <c r="AZ1135" s="65"/>
      <c r="BA1135" s="65"/>
      <c r="BB1135" s="65"/>
      <c r="BC1135" s="65"/>
      <c r="BD1135" s="65"/>
      <c r="BE1135" s="66"/>
    </row>
    <row r="1136" spans="1:57" s="48" customFormat="1" ht="12" customHeight="1" x14ac:dyDescent="0.2">
      <c r="A1136" s="719"/>
      <c r="B1136" s="721"/>
      <c r="C1136" s="569"/>
      <c r="D1136" s="470">
        <v>2023</v>
      </c>
      <c r="E1136" s="567">
        <f t="shared" si="471"/>
        <v>0.99750000000000005</v>
      </c>
      <c r="F1136" s="567">
        <f>F1144+F1153</f>
        <v>0.99750000000000005</v>
      </c>
      <c r="G1136" s="567">
        <f t="shared" ref="F1136:J1139" si="473">G1144</f>
        <v>0</v>
      </c>
      <c r="H1136" s="567">
        <f t="shared" si="473"/>
        <v>0</v>
      </c>
      <c r="I1136" s="567">
        <f t="shared" si="473"/>
        <v>0</v>
      </c>
      <c r="J1136" s="567">
        <f t="shared" si="473"/>
        <v>0</v>
      </c>
      <c r="K1136" s="52">
        <f t="shared" si="441"/>
        <v>0.99750000000000005</v>
      </c>
      <c r="L1136" s="540"/>
      <c r="M1136" s="50"/>
      <c r="N1136" s="51"/>
      <c r="O1136" s="717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  <c r="AB1136" s="65"/>
      <c r="AC1136" s="65"/>
      <c r="AD1136" s="65"/>
      <c r="AE1136" s="65"/>
      <c r="AF1136" s="65"/>
      <c r="AG1136" s="65"/>
      <c r="AH1136" s="65"/>
      <c r="AI1136" s="65"/>
      <c r="AJ1136" s="65"/>
      <c r="AK1136" s="65"/>
      <c r="AL1136" s="65"/>
      <c r="AM1136" s="65"/>
      <c r="AN1136" s="65"/>
      <c r="AO1136" s="65"/>
      <c r="AP1136" s="65"/>
      <c r="AQ1136" s="65"/>
      <c r="AR1136" s="65"/>
      <c r="AS1136" s="65"/>
      <c r="AT1136" s="65"/>
      <c r="AU1136" s="65"/>
      <c r="AV1136" s="65"/>
      <c r="AW1136" s="65"/>
      <c r="AX1136" s="65"/>
      <c r="AY1136" s="65"/>
      <c r="AZ1136" s="65"/>
      <c r="BA1136" s="65"/>
      <c r="BB1136" s="65"/>
      <c r="BC1136" s="65"/>
      <c r="BD1136" s="65"/>
      <c r="BE1136" s="66"/>
    </row>
    <row r="1137" spans="1:57" s="48" customFormat="1" ht="12" customHeight="1" x14ac:dyDescent="0.2">
      <c r="A1137" s="719"/>
      <c r="B1137" s="721"/>
      <c r="C1137" s="569"/>
      <c r="D1137" s="470">
        <v>2024</v>
      </c>
      <c r="E1137" s="567">
        <f t="shared" si="471"/>
        <v>0.3503</v>
      </c>
      <c r="F1137" s="567">
        <f t="shared" si="473"/>
        <v>0.3503</v>
      </c>
      <c r="G1137" s="567">
        <f t="shared" si="473"/>
        <v>0</v>
      </c>
      <c r="H1137" s="567">
        <f t="shared" si="473"/>
        <v>0</v>
      </c>
      <c r="I1137" s="567">
        <f t="shared" si="473"/>
        <v>0</v>
      </c>
      <c r="J1137" s="567">
        <f t="shared" si="473"/>
        <v>0</v>
      </c>
      <c r="K1137" s="52">
        <f t="shared" si="441"/>
        <v>0.3503</v>
      </c>
      <c r="L1137" s="540"/>
      <c r="M1137" s="50"/>
      <c r="N1137" s="51"/>
      <c r="O1137" s="717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  <c r="AB1137" s="65"/>
      <c r="AC1137" s="65"/>
      <c r="AD1137" s="65"/>
      <c r="AE1137" s="65"/>
      <c r="AF1137" s="65"/>
      <c r="AG1137" s="65"/>
      <c r="AH1137" s="65"/>
      <c r="AI1137" s="65"/>
      <c r="AJ1137" s="65"/>
      <c r="AK1137" s="65"/>
      <c r="AL1137" s="65"/>
      <c r="AM1137" s="65"/>
      <c r="AN1137" s="65"/>
      <c r="AO1137" s="65"/>
      <c r="AP1137" s="65"/>
      <c r="AQ1137" s="65"/>
      <c r="AR1137" s="65"/>
      <c r="AS1137" s="65"/>
      <c r="AT1137" s="65"/>
      <c r="AU1137" s="65"/>
      <c r="AV1137" s="65"/>
      <c r="AW1137" s="65"/>
      <c r="AX1137" s="65"/>
      <c r="AY1137" s="65"/>
      <c r="AZ1137" s="65"/>
      <c r="BA1137" s="65"/>
      <c r="BB1137" s="65"/>
      <c r="BC1137" s="65"/>
      <c r="BD1137" s="65"/>
      <c r="BE1137" s="66"/>
    </row>
    <row r="1138" spans="1:57" s="48" customFormat="1" ht="12" customHeight="1" x14ac:dyDescent="0.2">
      <c r="A1138" s="719"/>
      <c r="B1138" s="721"/>
      <c r="C1138" s="569"/>
      <c r="D1138" s="470">
        <v>2025</v>
      </c>
      <c r="E1138" s="567">
        <f>F1138+G1138+H1138+I1138+J1138</f>
        <v>1.4382999999999999</v>
      </c>
      <c r="F1138" s="567">
        <f>F1146+F1163</f>
        <v>1.4382999999999999</v>
      </c>
      <c r="G1138" s="567">
        <f t="shared" si="473"/>
        <v>0</v>
      </c>
      <c r="H1138" s="567">
        <f t="shared" si="473"/>
        <v>0</v>
      </c>
      <c r="I1138" s="567">
        <f t="shared" si="473"/>
        <v>0</v>
      </c>
      <c r="J1138" s="567">
        <f t="shared" si="473"/>
        <v>0</v>
      </c>
      <c r="K1138" s="52">
        <f t="shared" si="441"/>
        <v>1.4382999999999999</v>
      </c>
      <c r="L1138" s="540"/>
      <c r="M1138" s="50"/>
      <c r="N1138" s="51"/>
      <c r="O1138" s="717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  <c r="AB1138" s="65"/>
      <c r="AC1138" s="65"/>
      <c r="AD1138" s="65"/>
      <c r="AE1138" s="65"/>
      <c r="AF1138" s="65"/>
      <c r="AG1138" s="65"/>
      <c r="AH1138" s="65"/>
      <c r="AI1138" s="65"/>
      <c r="AJ1138" s="65"/>
      <c r="AK1138" s="65"/>
      <c r="AL1138" s="65"/>
      <c r="AM1138" s="65"/>
      <c r="AN1138" s="65"/>
      <c r="AO1138" s="65"/>
      <c r="AP1138" s="65"/>
      <c r="AQ1138" s="65"/>
      <c r="AR1138" s="65"/>
      <c r="AS1138" s="65"/>
      <c r="AT1138" s="65"/>
      <c r="AU1138" s="65"/>
      <c r="AV1138" s="65"/>
      <c r="AW1138" s="65"/>
      <c r="AX1138" s="65"/>
      <c r="AY1138" s="65"/>
      <c r="AZ1138" s="65"/>
      <c r="BA1138" s="65"/>
      <c r="BB1138" s="65"/>
      <c r="BC1138" s="65"/>
      <c r="BD1138" s="65"/>
      <c r="BE1138" s="66"/>
    </row>
    <row r="1139" spans="1:57" s="48" customFormat="1" ht="12" customHeight="1" x14ac:dyDescent="0.2">
      <c r="A1139" s="719"/>
      <c r="B1139" s="721"/>
      <c r="C1139" s="569"/>
      <c r="D1139" s="470">
        <v>2026</v>
      </c>
      <c r="E1139" s="567">
        <f t="shared" si="471"/>
        <v>1.7514000000000001</v>
      </c>
      <c r="F1139" s="567">
        <f t="shared" si="473"/>
        <v>1.7514000000000001</v>
      </c>
      <c r="G1139" s="567">
        <f t="shared" si="473"/>
        <v>0</v>
      </c>
      <c r="H1139" s="567">
        <f t="shared" si="473"/>
        <v>0</v>
      </c>
      <c r="I1139" s="567">
        <f t="shared" si="473"/>
        <v>0</v>
      </c>
      <c r="J1139" s="567">
        <f t="shared" si="473"/>
        <v>0</v>
      </c>
      <c r="K1139" s="52">
        <f t="shared" si="441"/>
        <v>1.7514000000000001</v>
      </c>
      <c r="L1139" s="540"/>
      <c r="M1139" s="50"/>
      <c r="N1139" s="51"/>
      <c r="O1139" s="717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  <c r="AB1139" s="65"/>
      <c r="AC1139" s="65"/>
      <c r="AD1139" s="65"/>
      <c r="AE1139" s="65"/>
      <c r="AF1139" s="65"/>
      <c r="AG1139" s="65"/>
      <c r="AH1139" s="65"/>
      <c r="AI1139" s="65"/>
      <c r="AJ1139" s="65"/>
      <c r="AK1139" s="65"/>
      <c r="AL1139" s="65"/>
      <c r="AM1139" s="65"/>
      <c r="AN1139" s="65"/>
      <c r="AO1139" s="65"/>
      <c r="AP1139" s="65"/>
      <c r="AQ1139" s="65"/>
      <c r="AR1139" s="65"/>
      <c r="AS1139" s="65"/>
      <c r="AT1139" s="65"/>
      <c r="AU1139" s="65"/>
      <c r="AV1139" s="65"/>
      <c r="AW1139" s="65"/>
      <c r="AX1139" s="65"/>
      <c r="AY1139" s="65"/>
      <c r="AZ1139" s="65"/>
      <c r="BA1139" s="65"/>
      <c r="BB1139" s="65"/>
      <c r="BC1139" s="65"/>
      <c r="BD1139" s="65"/>
      <c r="BE1139" s="66"/>
    </row>
    <row r="1140" spans="1:57" s="48" customFormat="1" ht="153.75" customHeight="1" x14ac:dyDescent="0.2">
      <c r="A1140" s="491" t="s">
        <v>717</v>
      </c>
      <c r="B1140" s="490" t="s">
        <v>579</v>
      </c>
      <c r="C1140" s="569"/>
      <c r="D1140" s="470">
        <v>2019</v>
      </c>
      <c r="E1140" s="228">
        <f>F1140+G1140+H1140+I1140+J1140</f>
        <v>0.74209999999999998</v>
      </c>
      <c r="F1140" s="228">
        <v>0.74209999999999998</v>
      </c>
      <c r="G1140" s="228">
        <v>0</v>
      </c>
      <c r="H1140" s="228">
        <v>0</v>
      </c>
      <c r="I1140" s="228">
        <v>0</v>
      </c>
      <c r="J1140" s="228">
        <v>0</v>
      </c>
      <c r="K1140" s="52">
        <f t="shared" si="441"/>
        <v>0.74209999999999998</v>
      </c>
      <c r="L1140" s="540"/>
      <c r="M1140" s="50"/>
      <c r="N1140" s="51"/>
      <c r="O1140" s="717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  <c r="AH1140" s="65"/>
      <c r="AI1140" s="65"/>
      <c r="AJ1140" s="65"/>
      <c r="AK1140" s="65"/>
      <c r="AL1140" s="65"/>
      <c r="AM1140" s="65"/>
      <c r="AN1140" s="65"/>
      <c r="AO1140" s="65"/>
      <c r="AP1140" s="65"/>
      <c r="AQ1140" s="65"/>
      <c r="AR1140" s="65"/>
      <c r="AS1140" s="65"/>
      <c r="AT1140" s="65"/>
      <c r="AU1140" s="65"/>
      <c r="AV1140" s="65"/>
      <c r="AW1140" s="65"/>
      <c r="AX1140" s="65"/>
      <c r="AY1140" s="65"/>
      <c r="AZ1140" s="65"/>
      <c r="BA1140" s="65"/>
      <c r="BB1140" s="65"/>
      <c r="BC1140" s="65"/>
      <c r="BD1140" s="65"/>
      <c r="BE1140" s="66"/>
    </row>
    <row r="1141" spans="1:57" s="48" customFormat="1" ht="118.5" customHeight="1" x14ac:dyDescent="0.2">
      <c r="A1141" s="491" t="s">
        <v>718</v>
      </c>
      <c r="B1141" s="490" t="s">
        <v>593</v>
      </c>
      <c r="C1141" s="569"/>
      <c r="D1141" s="470">
        <v>2020</v>
      </c>
      <c r="E1141" s="228">
        <f>F1141+G1141+H1141+I1141+J1141</f>
        <v>0.4511</v>
      </c>
      <c r="F1141" s="228">
        <v>0.4511</v>
      </c>
      <c r="G1141" s="228">
        <v>0</v>
      </c>
      <c r="H1141" s="228">
        <v>0</v>
      </c>
      <c r="I1141" s="228">
        <v>0</v>
      </c>
      <c r="J1141" s="228">
        <v>0</v>
      </c>
      <c r="K1141" s="52">
        <f t="shared" si="441"/>
        <v>0.4511</v>
      </c>
      <c r="L1141" s="540"/>
      <c r="M1141" s="50"/>
      <c r="N1141" s="51"/>
      <c r="O1141" s="717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  <c r="AC1141" s="65"/>
      <c r="AD1141" s="65"/>
      <c r="AE1141" s="65"/>
      <c r="AF1141" s="65"/>
      <c r="AG1141" s="65"/>
      <c r="AH1141" s="65"/>
      <c r="AI1141" s="65"/>
      <c r="AJ1141" s="65"/>
      <c r="AK1141" s="65"/>
      <c r="AL1141" s="65"/>
      <c r="AM1141" s="65"/>
      <c r="AN1141" s="65"/>
      <c r="AO1141" s="65"/>
      <c r="AP1141" s="65"/>
      <c r="AQ1141" s="65"/>
      <c r="AR1141" s="65"/>
      <c r="AS1141" s="65"/>
      <c r="AT1141" s="65"/>
      <c r="AU1141" s="65"/>
      <c r="AV1141" s="65"/>
      <c r="AW1141" s="65"/>
      <c r="AX1141" s="65"/>
      <c r="AY1141" s="65"/>
      <c r="AZ1141" s="65"/>
      <c r="BA1141" s="65"/>
      <c r="BB1141" s="65"/>
      <c r="BC1141" s="65"/>
      <c r="BD1141" s="65"/>
      <c r="BE1141" s="66"/>
    </row>
    <row r="1142" spans="1:57" s="48" customFormat="1" ht="99" customHeight="1" x14ac:dyDescent="0.2">
      <c r="A1142" s="488" t="s">
        <v>719</v>
      </c>
      <c r="B1142" s="472" t="s">
        <v>941</v>
      </c>
      <c r="C1142" s="569"/>
      <c r="D1142" s="470">
        <v>2021</v>
      </c>
      <c r="E1142" s="228">
        <f>F1142+G1142+H1142+I1142+J1142</f>
        <v>0.46910000000000002</v>
      </c>
      <c r="F1142" s="228">
        <v>0.46910000000000002</v>
      </c>
      <c r="G1142" s="228">
        <v>0</v>
      </c>
      <c r="H1142" s="228">
        <v>0</v>
      </c>
      <c r="I1142" s="228">
        <v>0</v>
      </c>
      <c r="J1142" s="228">
        <v>0</v>
      </c>
      <c r="K1142" s="52">
        <f t="shared" si="441"/>
        <v>0.46910000000000002</v>
      </c>
      <c r="L1142" s="540"/>
      <c r="M1142" s="50"/>
      <c r="N1142" s="51"/>
      <c r="O1142" s="717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  <c r="AC1142" s="65"/>
      <c r="AD1142" s="65"/>
      <c r="AE1142" s="65"/>
      <c r="AF1142" s="65"/>
      <c r="AG1142" s="65"/>
      <c r="AH1142" s="65"/>
      <c r="AI1142" s="65"/>
      <c r="AJ1142" s="65"/>
      <c r="AK1142" s="65"/>
      <c r="AL1142" s="65"/>
      <c r="AM1142" s="65"/>
      <c r="AN1142" s="65"/>
      <c r="AO1142" s="65"/>
      <c r="AP1142" s="65"/>
      <c r="AQ1142" s="65"/>
      <c r="AR1142" s="65"/>
      <c r="AS1142" s="65"/>
      <c r="AT1142" s="65"/>
      <c r="AU1142" s="65"/>
      <c r="AV1142" s="65"/>
      <c r="AW1142" s="65"/>
      <c r="AX1142" s="65"/>
      <c r="AY1142" s="65"/>
      <c r="AZ1142" s="65"/>
      <c r="BA1142" s="65"/>
      <c r="BB1142" s="65"/>
      <c r="BC1142" s="65"/>
      <c r="BD1142" s="65"/>
      <c r="BE1142" s="66"/>
    </row>
    <row r="1143" spans="1:57" s="48" customFormat="1" ht="53.25" customHeight="1" x14ac:dyDescent="0.2">
      <c r="A1143" s="488" t="s">
        <v>772</v>
      </c>
      <c r="B1143" s="472" t="s">
        <v>942</v>
      </c>
      <c r="C1143" s="569"/>
      <c r="D1143" s="470">
        <v>2022</v>
      </c>
      <c r="E1143" s="228">
        <f>F1143</f>
        <v>0.4879</v>
      </c>
      <c r="F1143" s="228">
        <v>0.4879</v>
      </c>
      <c r="G1143" s="228">
        <v>0</v>
      </c>
      <c r="H1143" s="228">
        <v>0</v>
      </c>
      <c r="I1143" s="228">
        <v>0</v>
      </c>
      <c r="J1143" s="228">
        <v>0</v>
      </c>
      <c r="K1143" s="52">
        <f t="shared" si="441"/>
        <v>0.4879</v>
      </c>
      <c r="L1143" s="540"/>
      <c r="M1143" s="50"/>
      <c r="N1143" s="51"/>
      <c r="O1143" s="717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  <c r="AC1143" s="65"/>
      <c r="AD1143" s="65"/>
      <c r="AE1143" s="65"/>
      <c r="AF1143" s="65"/>
      <c r="AG1143" s="65"/>
      <c r="AH1143" s="65"/>
      <c r="AI1143" s="65"/>
      <c r="AJ1143" s="65"/>
      <c r="AK1143" s="65"/>
      <c r="AL1143" s="65"/>
      <c r="AM1143" s="65"/>
      <c r="AN1143" s="65"/>
      <c r="AO1143" s="65"/>
      <c r="AP1143" s="65"/>
      <c r="AQ1143" s="65"/>
      <c r="AR1143" s="65"/>
      <c r="AS1143" s="65"/>
      <c r="AT1143" s="65"/>
      <c r="AU1143" s="65"/>
      <c r="AV1143" s="65"/>
      <c r="AW1143" s="65"/>
      <c r="AX1143" s="65"/>
      <c r="AY1143" s="65"/>
      <c r="AZ1143" s="65"/>
      <c r="BA1143" s="65"/>
      <c r="BB1143" s="65"/>
      <c r="BC1143" s="65"/>
      <c r="BD1143" s="65"/>
      <c r="BE1143" s="66"/>
    </row>
    <row r="1144" spans="1:57" s="48" customFormat="1" ht="60.75" customHeight="1" x14ac:dyDescent="0.2">
      <c r="A1144" s="488" t="s">
        <v>773</v>
      </c>
      <c r="B1144" s="472" t="s">
        <v>943</v>
      </c>
      <c r="C1144" s="569"/>
      <c r="D1144" s="470">
        <v>2023</v>
      </c>
      <c r="E1144" s="228">
        <f>F1144</f>
        <v>0.17510000000000001</v>
      </c>
      <c r="F1144" s="228">
        <v>0.17510000000000001</v>
      </c>
      <c r="G1144" s="228">
        <v>0</v>
      </c>
      <c r="H1144" s="228">
        <v>0</v>
      </c>
      <c r="I1144" s="228">
        <v>0</v>
      </c>
      <c r="J1144" s="228">
        <v>0</v>
      </c>
      <c r="K1144" s="52">
        <f t="shared" si="441"/>
        <v>0.17510000000000001</v>
      </c>
      <c r="L1144" s="540"/>
      <c r="M1144" s="50"/>
      <c r="N1144" s="51"/>
      <c r="O1144" s="717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  <c r="AC1144" s="65"/>
      <c r="AD1144" s="65"/>
      <c r="AE1144" s="65"/>
      <c r="AF1144" s="65"/>
      <c r="AG1144" s="65"/>
      <c r="AH1144" s="65"/>
      <c r="AI1144" s="65"/>
      <c r="AJ1144" s="65"/>
      <c r="AK1144" s="65"/>
      <c r="AL1144" s="65"/>
      <c r="AM1144" s="65"/>
      <c r="AN1144" s="65"/>
      <c r="AO1144" s="65"/>
      <c r="AP1144" s="65"/>
      <c r="AQ1144" s="65"/>
      <c r="AR1144" s="65"/>
      <c r="AS1144" s="65"/>
      <c r="AT1144" s="65"/>
      <c r="AU1144" s="65"/>
      <c r="AV1144" s="65"/>
      <c r="AW1144" s="65"/>
      <c r="AX1144" s="65"/>
      <c r="AY1144" s="65"/>
      <c r="AZ1144" s="65"/>
      <c r="BA1144" s="65"/>
      <c r="BB1144" s="65"/>
      <c r="BC1144" s="65"/>
      <c r="BD1144" s="65"/>
      <c r="BE1144" s="66"/>
    </row>
    <row r="1145" spans="1:57" s="48" customFormat="1" ht="50.25" customHeight="1" x14ac:dyDescent="0.2">
      <c r="A1145" s="488" t="s">
        <v>720</v>
      </c>
      <c r="B1145" s="472" t="s">
        <v>944</v>
      </c>
      <c r="C1145" s="569"/>
      <c r="D1145" s="470">
        <v>2024</v>
      </c>
      <c r="E1145" s="228">
        <f>F1145</f>
        <v>0.3503</v>
      </c>
      <c r="F1145" s="228">
        <v>0.3503</v>
      </c>
      <c r="G1145" s="228">
        <v>0</v>
      </c>
      <c r="H1145" s="228">
        <v>0</v>
      </c>
      <c r="I1145" s="228">
        <v>0</v>
      </c>
      <c r="J1145" s="228">
        <v>0</v>
      </c>
      <c r="K1145" s="52">
        <f t="shared" si="441"/>
        <v>0.3503</v>
      </c>
      <c r="L1145" s="540"/>
      <c r="M1145" s="50"/>
      <c r="N1145" s="51"/>
      <c r="O1145" s="717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  <c r="AC1145" s="65"/>
      <c r="AD1145" s="65"/>
      <c r="AE1145" s="65"/>
      <c r="AF1145" s="65"/>
      <c r="AG1145" s="65"/>
      <c r="AH1145" s="65"/>
      <c r="AI1145" s="65"/>
      <c r="AJ1145" s="65"/>
      <c r="AK1145" s="65"/>
      <c r="AL1145" s="65"/>
      <c r="AM1145" s="65"/>
      <c r="AN1145" s="65"/>
      <c r="AO1145" s="65"/>
      <c r="AP1145" s="65"/>
      <c r="AQ1145" s="65"/>
      <c r="AR1145" s="65"/>
      <c r="AS1145" s="65"/>
      <c r="AT1145" s="65"/>
      <c r="AU1145" s="65"/>
      <c r="AV1145" s="65"/>
      <c r="AW1145" s="65"/>
      <c r="AX1145" s="65"/>
      <c r="AY1145" s="65"/>
      <c r="AZ1145" s="65"/>
      <c r="BA1145" s="65"/>
      <c r="BB1145" s="65"/>
      <c r="BC1145" s="65"/>
      <c r="BD1145" s="65"/>
      <c r="BE1145" s="66"/>
    </row>
    <row r="1146" spans="1:57" s="48" customFormat="1" ht="48" customHeight="1" x14ac:dyDescent="0.2">
      <c r="A1146" s="488" t="s">
        <v>774</v>
      </c>
      <c r="B1146" s="472" t="s">
        <v>945</v>
      </c>
      <c r="C1146" s="569"/>
      <c r="D1146" s="470">
        <v>2025</v>
      </c>
      <c r="E1146" s="228">
        <f>F1146</f>
        <v>0.54879999999999995</v>
      </c>
      <c r="F1146" s="228">
        <v>0.54879999999999995</v>
      </c>
      <c r="G1146" s="228">
        <v>0</v>
      </c>
      <c r="H1146" s="228">
        <v>0</v>
      </c>
      <c r="I1146" s="228">
        <v>0</v>
      </c>
      <c r="J1146" s="228">
        <v>0</v>
      </c>
      <c r="K1146" s="52">
        <f t="shared" si="441"/>
        <v>0.54879999999999995</v>
      </c>
      <c r="L1146" s="540"/>
      <c r="M1146" s="50"/>
      <c r="N1146" s="51"/>
      <c r="O1146" s="717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  <c r="AC1146" s="65"/>
      <c r="AD1146" s="65"/>
      <c r="AE1146" s="65"/>
      <c r="AF1146" s="65"/>
      <c r="AG1146" s="65"/>
      <c r="AH1146" s="65"/>
      <c r="AI1146" s="65"/>
      <c r="AJ1146" s="65"/>
      <c r="AK1146" s="65"/>
      <c r="AL1146" s="65"/>
      <c r="AM1146" s="65"/>
      <c r="AN1146" s="65"/>
      <c r="AO1146" s="65"/>
      <c r="AP1146" s="65"/>
      <c r="AQ1146" s="65"/>
      <c r="AR1146" s="65"/>
      <c r="AS1146" s="65"/>
      <c r="AT1146" s="65"/>
      <c r="AU1146" s="65"/>
      <c r="AV1146" s="65"/>
      <c r="AW1146" s="65"/>
      <c r="AX1146" s="65"/>
      <c r="AY1146" s="65"/>
      <c r="AZ1146" s="65"/>
      <c r="BA1146" s="65"/>
      <c r="BB1146" s="65"/>
      <c r="BC1146" s="65"/>
      <c r="BD1146" s="65"/>
      <c r="BE1146" s="66"/>
    </row>
    <row r="1147" spans="1:57" s="48" customFormat="1" ht="38.25" customHeight="1" x14ac:dyDescent="0.2">
      <c r="A1147" s="488" t="s">
        <v>775</v>
      </c>
      <c r="B1147" s="472" t="s">
        <v>580</v>
      </c>
      <c r="C1147" s="569"/>
      <c r="D1147" s="470">
        <v>2026</v>
      </c>
      <c r="E1147" s="228">
        <f>F1147+G1147+H1147+I1147+J1147</f>
        <v>1.7514000000000001</v>
      </c>
      <c r="F1147" s="228">
        <v>1.7514000000000001</v>
      </c>
      <c r="G1147" s="228">
        <v>0</v>
      </c>
      <c r="H1147" s="228">
        <v>0</v>
      </c>
      <c r="I1147" s="228">
        <v>0</v>
      </c>
      <c r="J1147" s="228">
        <v>0</v>
      </c>
      <c r="K1147" s="52">
        <f t="shared" si="441"/>
        <v>1.7514000000000001</v>
      </c>
      <c r="L1147" s="540"/>
      <c r="M1147" s="50"/>
      <c r="N1147" s="51"/>
      <c r="O1147" s="717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  <c r="AC1147" s="65"/>
      <c r="AD1147" s="65"/>
      <c r="AE1147" s="65"/>
      <c r="AF1147" s="65"/>
      <c r="AG1147" s="65"/>
      <c r="AH1147" s="65"/>
      <c r="AI1147" s="65"/>
      <c r="AJ1147" s="65"/>
      <c r="AK1147" s="65"/>
      <c r="AL1147" s="65"/>
      <c r="AM1147" s="65"/>
      <c r="AN1147" s="65"/>
      <c r="AO1147" s="65"/>
      <c r="AP1147" s="65"/>
      <c r="AQ1147" s="65"/>
      <c r="AR1147" s="65"/>
      <c r="AS1147" s="65"/>
      <c r="AT1147" s="65"/>
      <c r="AU1147" s="65"/>
      <c r="AV1147" s="65"/>
      <c r="AW1147" s="65"/>
      <c r="AX1147" s="65"/>
      <c r="AY1147" s="65"/>
      <c r="AZ1147" s="65"/>
      <c r="BA1147" s="65"/>
      <c r="BB1147" s="65"/>
      <c r="BC1147" s="65"/>
      <c r="BD1147" s="65"/>
      <c r="BE1147" s="66"/>
    </row>
    <row r="1148" spans="1:57" s="48" customFormat="1" ht="15.75" customHeight="1" x14ac:dyDescent="0.2">
      <c r="A1148" s="675" t="s">
        <v>721</v>
      </c>
      <c r="B1148" s="720" t="s">
        <v>501</v>
      </c>
      <c r="C1148" s="569"/>
      <c r="D1148" s="46" t="s">
        <v>198</v>
      </c>
      <c r="E1148" s="58">
        <f>E1149+E1150+E1151+E1152+E1153+E1154+E1155+E1156</f>
        <v>8.4458899999999986</v>
      </c>
      <c r="F1148" s="58">
        <f>F1149+F1150+F1151+F1152+F1153+F1154+F1155+F1156</f>
        <v>8.4458899999999986</v>
      </c>
      <c r="G1148" s="58">
        <f t="shared" ref="G1148:J1148" si="474">G1149+G1150+G1151+G1152+G1153+G1154+G1155+G1156</f>
        <v>0</v>
      </c>
      <c r="H1148" s="58">
        <f t="shared" si="474"/>
        <v>0</v>
      </c>
      <c r="I1148" s="58">
        <f t="shared" si="474"/>
        <v>0</v>
      </c>
      <c r="J1148" s="58">
        <f t="shared" si="474"/>
        <v>0</v>
      </c>
      <c r="K1148" s="52">
        <f t="shared" si="441"/>
        <v>8.4458899999999986</v>
      </c>
      <c r="L1148" s="633"/>
      <c r="M1148" s="50"/>
      <c r="N1148" s="51"/>
      <c r="O1148" s="717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  <c r="AC1148" s="65"/>
      <c r="AD1148" s="65"/>
      <c r="AE1148" s="65"/>
      <c r="AF1148" s="65"/>
      <c r="AG1148" s="65"/>
      <c r="AH1148" s="65"/>
      <c r="AI1148" s="65"/>
      <c r="AJ1148" s="65"/>
      <c r="AK1148" s="65"/>
      <c r="AL1148" s="65"/>
      <c r="AM1148" s="65"/>
      <c r="AN1148" s="65"/>
      <c r="AO1148" s="65"/>
      <c r="AP1148" s="65"/>
      <c r="AQ1148" s="65"/>
      <c r="AR1148" s="65"/>
      <c r="AS1148" s="65"/>
      <c r="AT1148" s="65"/>
      <c r="AU1148" s="65"/>
      <c r="AV1148" s="65"/>
      <c r="AW1148" s="65"/>
      <c r="AX1148" s="65"/>
      <c r="AY1148" s="65"/>
      <c r="AZ1148" s="65"/>
      <c r="BA1148" s="65"/>
      <c r="BB1148" s="65"/>
      <c r="BC1148" s="65"/>
      <c r="BD1148" s="65"/>
      <c r="BE1148" s="66"/>
    </row>
    <row r="1149" spans="1:57" s="48" customFormat="1" x14ac:dyDescent="0.2">
      <c r="A1149" s="722"/>
      <c r="B1149" s="721"/>
      <c r="C1149" s="569"/>
      <c r="D1149" s="470">
        <v>2019</v>
      </c>
      <c r="E1149" s="567">
        <f t="shared" ref="E1149:F1152" si="475">E1157</f>
        <v>0.53059000000000001</v>
      </c>
      <c r="F1149" s="567">
        <f>F1157</f>
        <v>0.53059000000000001</v>
      </c>
      <c r="G1149" s="567">
        <f t="shared" ref="G1149:J1152" si="476">G1157</f>
        <v>0</v>
      </c>
      <c r="H1149" s="567">
        <f t="shared" si="476"/>
        <v>0</v>
      </c>
      <c r="I1149" s="567">
        <f t="shared" si="476"/>
        <v>0</v>
      </c>
      <c r="J1149" s="567">
        <f t="shared" si="476"/>
        <v>0</v>
      </c>
      <c r="K1149" s="52">
        <f t="shared" si="441"/>
        <v>0.53059000000000001</v>
      </c>
      <c r="L1149" s="634"/>
      <c r="M1149" s="50"/>
      <c r="N1149" s="51"/>
      <c r="O1149" s="717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  <c r="AC1149" s="65"/>
      <c r="AD1149" s="65"/>
      <c r="AE1149" s="65"/>
      <c r="AF1149" s="65"/>
      <c r="AG1149" s="65"/>
      <c r="AH1149" s="65"/>
      <c r="AI1149" s="65"/>
      <c r="AJ1149" s="65"/>
      <c r="AK1149" s="65"/>
      <c r="AL1149" s="65"/>
      <c r="AM1149" s="65"/>
      <c r="AN1149" s="65"/>
      <c r="AO1149" s="65"/>
      <c r="AP1149" s="65"/>
      <c r="AQ1149" s="65"/>
      <c r="AR1149" s="65"/>
      <c r="AS1149" s="65"/>
      <c r="AT1149" s="65"/>
      <c r="AU1149" s="65"/>
      <c r="AV1149" s="65"/>
      <c r="AW1149" s="65"/>
      <c r="AX1149" s="65"/>
      <c r="AY1149" s="65"/>
      <c r="AZ1149" s="65"/>
      <c r="BA1149" s="65"/>
      <c r="BB1149" s="65"/>
      <c r="BC1149" s="65"/>
      <c r="BD1149" s="65"/>
      <c r="BE1149" s="66"/>
    </row>
    <row r="1150" spans="1:57" s="48" customFormat="1" x14ac:dyDescent="0.2">
      <c r="A1150" s="722"/>
      <c r="B1150" s="721"/>
      <c r="C1150" s="569"/>
      <c r="D1150" s="470">
        <v>2020</v>
      </c>
      <c r="E1150" s="567">
        <f t="shared" si="475"/>
        <v>0.73109999999999997</v>
      </c>
      <c r="F1150" s="567">
        <f>F1158</f>
        <v>0.73109999999999997</v>
      </c>
      <c r="G1150" s="567">
        <f t="shared" si="476"/>
        <v>0</v>
      </c>
      <c r="H1150" s="567">
        <f t="shared" si="476"/>
        <v>0</v>
      </c>
      <c r="I1150" s="567">
        <f t="shared" si="476"/>
        <v>0</v>
      </c>
      <c r="J1150" s="567">
        <f t="shared" si="476"/>
        <v>0</v>
      </c>
      <c r="K1150" s="52">
        <f t="shared" ref="K1150:K1212" si="477">F1150+G1150+H1150+I1150+J1150</f>
        <v>0.73109999999999997</v>
      </c>
      <c r="L1150" s="634"/>
      <c r="M1150" s="50"/>
      <c r="N1150" s="51"/>
      <c r="O1150" s="717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  <c r="AC1150" s="65"/>
      <c r="AD1150" s="65"/>
      <c r="AE1150" s="65"/>
      <c r="AF1150" s="65"/>
      <c r="AG1150" s="65"/>
      <c r="AH1150" s="65"/>
      <c r="AI1150" s="65"/>
      <c r="AJ1150" s="65"/>
      <c r="AK1150" s="65"/>
      <c r="AL1150" s="65"/>
      <c r="AM1150" s="65"/>
      <c r="AN1150" s="65"/>
      <c r="AO1150" s="65"/>
      <c r="AP1150" s="65"/>
      <c r="AQ1150" s="65"/>
      <c r="AR1150" s="65"/>
      <c r="AS1150" s="65"/>
      <c r="AT1150" s="65"/>
      <c r="AU1150" s="65"/>
      <c r="AV1150" s="65"/>
      <c r="AW1150" s="65"/>
      <c r="AX1150" s="65"/>
      <c r="AY1150" s="65"/>
      <c r="AZ1150" s="65"/>
      <c r="BA1150" s="65"/>
      <c r="BB1150" s="65"/>
      <c r="BC1150" s="65"/>
      <c r="BD1150" s="65"/>
      <c r="BE1150" s="66"/>
    </row>
    <row r="1151" spans="1:57" s="48" customFormat="1" x14ac:dyDescent="0.2">
      <c r="A1151" s="722"/>
      <c r="B1151" s="721"/>
      <c r="C1151" s="569"/>
      <c r="D1151" s="470">
        <v>2021</v>
      </c>
      <c r="E1151" s="567">
        <f t="shared" si="475"/>
        <v>0.76029999999999998</v>
      </c>
      <c r="F1151" s="567">
        <f>F1159</f>
        <v>0.76029999999999998</v>
      </c>
      <c r="G1151" s="567">
        <f t="shared" si="476"/>
        <v>0</v>
      </c>
      <c r="H1151" s="567">
        <f t="shared" si="476"/>
        <v>0</v>
      </c>
      <c r="I1151" s="567">
        <f t="shared" si="476"/>
        <v>0</v>
      </c>
      <c r="J1151" s="567">
        <f t="shared" si="476"/>
        <v>0</v>
      </c>
      <c r="K1151" s="52">
        <f t="shared" si="477"/>
        <v>0.76029999999999998</v>
      </c>
      <c r="L1151" s="634"/>
      <c r="M1151" s="50"/>
      <c r="N1151" s="51"/>
      <c r="O1151" s="717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  <c r="AC1151" s="65"/>
      <c r="AD1151" s="65"/>
      <c r="AE1151" s="65"/>
      <c r="AF1151" s="65"/>
      <c r="AG1151" s="65"/>
      <c r="AH1151" s="65"/>
      <c r="AI1151" s="65"/>
      <c r="AJ1151" s="65"/>
      <c r="AK1151" s="65"/>
      <c r="AL1151" s="65"/>
      <c r="AM1151" s="65"/>
      <c r="AN1151" s="65"/>
      <c r="AO1151" s="65"/>
      <c r="AP1151" s="65"/>
      <c r="AQ1151" s="65"/>
      <c r="AR1151" s="65"/>
      <c r="AS1151" s="65"/>
      <c r="AT1151" s="65"/>
      <c r="AU1151" s="65"/>
      <c r="AV1151" s="65"/>
      <c r="AW1151" s="65"/>
      <c r="AX1151" s="65"/>
      <c r="AY1151" s="65"/>
      <c r="AZ1151" s="65"/>
      <c r="BA1151" s="65"/>
      <c r="BB1151" s="65"/>
      <c r="BC1151" s="65"/>
      <c r="BD1151" s="65"/>
      <c r="BE1151" s="66"/>
    </row>
    <row r="1152" spans="1:57" s="48" customFormat="1" x14ac:dyDescent="0.2">
      <c r="A1152" s="722"/>
      <c r="B1152" s="721"/>
      <c r="C1152" s="569"/>
      <c r="D1152" s="470">
        <v>2022</v>
      </c>
      <c r="E1152" s="567">
        <f t="shared" si="475"/>
        <v>0.79079999999999995</v>
      </c>
      <c r="F1152" s="567">
        <f t="shared" si="475"/>
        <v>0.79079999999999995</v>
      </c>
      <c r="G1152" s="567">
        <f t="shared" si="476"/>
        <v>0</v>
      </c>
      <c r="H1152" s="567">
        <f t="shared" si="476"/>
        <v>0</v>
      </c>
      <c r="I1152" s="567">
        <f t="shared" si="476"/>
        <v>0</v>
      </c>
      <c r="J1152" s="567">
        <f t="shared" si="476"/>
        <v>0</v>
      </c>
      <c r="K1152" s="52">
        <f t="shared" si="477"/>
        <v>0.79079999999999995</v>
      </c>
      <c r="L1152" s="634"/>
      <c r="M1152" s="50"/>
      <c r="N1152" s="51"/>
      <c r="O1152" s="717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  <c r="AB1152" s="65"/>
      <c r="AC1152" s="65"/>
      <c r="AD1152" s="65"/>
      <c r="AE1152" s="65"/>
      <c r="AF1152" s="65"/>
      <c r="AG1152" s="65"/>
      <c r="AH1152" s="65"/>
      <c r="AI1152" s="65"/>
      <c r="AJ1152" s="65"/>
      <c r="AK1152" s="65"/>
      <c r="AL1152" s="65"/>
      <c r="AM1152" s="65"/>
      <c r="AN1152" s="65"/>
      <c r="AO1152" s="65"/>
      <c r="AP1152" s="65"/>
      <c r="AQ1152" s="65"/>
      <c r="AR1152" s="65"/>
      <c r="AS1152" s="65"/>
      <c r="AT1152" s="65"/>
      <c r="AU1152" s="65"/>
      <c r="AV1152" s="65"/>
      <c r="AW1152" s="65"/>
      <c r="AX1152" s="65"/>
      <c r="AY1152" s="65"/>
      <c r="AZ1152" s="65"/>
      <c r="BA1152" s="65"/>
      <c r="BB1152" s="65"/>
      <c r="BC1152" s="65"/>
      <c r="BD1152" s="65"/>
      <c r="BE1152" s="66"/>
    </row>
    <row r="1153" spans="1:57" s="48" customFormat="1" x14ac:dyDescent="0.2">
      <c r="A1153" s="722"/>
      <c r="B1153" s="721"/>
      <c r="C1153" s="569"/>
      <c r="D1153" s="470">
        <v>2023</v>
      </c>
      <c r="E1153" s="567">
        <f>F1153</f>
        <v>0.82240000000000002</v>
      </c>
      <c r="F1153" s="567">
        <f>F1161</f>
        <v>0.82240000000000002</v>
      </c>
      <c r="G1153" s="567">
        <v>0</v>
      </c>
      <c r="H1153" s="567">
        <v>0</v>
      </c>
      <c r="I1153" s="567">
        <v>0</v>
      </c>
      <c r="J1153" s="567">
        <v>0</v>
      </c>
      <c r="K1153" s="52">
        <f t="shared" si="477"/>
        <v>0.82240000000000002</v>
      </c>
      <c r="L1153" s="634"/>
      <c r="M1153" s="50"/>
      <c r="N1153" s="51"/>
      <c r="O1153" s="717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  <c r="AC1153" s="65"/>
      <c r="AD1153" s="65"/>
      <c r="AE1153" s="65"/>
      <c r="AF1153" s="65"/>
      <c r="AG1153" s="65"/>
      <c r="AH1153" s="65"/>
      <c r="AI1153" s="65"/>
      <c r="AJ1153" s="65"/>
      <c r="AK1153" s="65"/>
      <c r="AL1153" s="65"/>
      <c r="AM1153" s="65"/>
      <c r="AN1153" s="65"/>
      <c r="AO1153" s="65"/>
      <c r="AP1153" s="65"/>
      <c r="AQ1153" s="65"/>
      <c r="AR1153" s="65"/>
      <c r="AS1153" s="65"/>
      <c r="AT1153" s="65"/>
      <c r="AU1153" s="65"/>
      <c r="AV1153" s="65"/>
      <c r="AW1153" s="65"/>
      <c r="AX1153" s="65"/>
      <c r="AY1153" s="65"/>
      <c r="AZ1153" s="65"/>
      <c r="BA1153" s="65"/>
      <c r="BB1153" s="65"/>
      <c r="BC1153" s="65"/>
      <c r="BD1153" s="65"/>
      <c r="BE1153" s="66"/>
    </row>
    <row r="1154" spans="1:57" s="48" customFormat="1" x14ac:dyDescent="0.2">
      <c r="A1154" s="722"/>
      <c r="B1154" s="721"/>
      <c r="C1154" s="569"/>
      <c r="D1154" s="470">
        <v>2024</v>
      </c>
      <c r="E1154" s="567">
        <f>F1154</f>
        <v>0.85529999999999995</v>
      </c>
      <c r="F1154" s="567">
        <f>F1162</f>
        <v>0.85529999999999995</v>
      </c>
      <c r="G1154" s="567">
        <v>0</v>
      </c>
      <c r="H1154" s="567">
        <v>0</v>
      </c>
      <c r="I1154" s="567">
        <v>0</v>
      </c>
      <c r="J1154" s="567">
        <v>0</v>
      </c>
      <c r="K1154" s="52">
        <f t="shared" si="477"/>
        <v>0.85529999999999995</v>
      </c>
      <c r="L1154" s="634"/>
      <c r="M1154" s="50"/>
      <c r="N1154" s="51"/>
      <c r="O1154" s="717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  <c r="AB1154" s="65"/>
      <c r="AC1154" s="65"/>
      <c r="AD1154" s="65"/>
      <c r="AE1154" s="65"/>
      <c r="AF1154" s="65"/>
      <c r="AG1154" s="65"/>
      <c r="AH1154" s="65"/>
      <c r="AI1154" s="65"/>
      <c r="AJ1154" s="65"/>
      <c r="AK1154" s="65"/>
      <c r="AL1154" s="65"/>
      <c r="AM1154" s="65"/>
      <c r="AN1154" s="65"/>
      <c r="AO1154" s="65"/>
      <c r="AP1154" s="65"/>
      <c r="AQ1154" s="65"/>
      <c r="AR1154" s="65"/>
      <c r="AS1154" s="65"/>
      <c r="AT1154" s="65"/>
      <c r="AU1154" s="65"/>
      <c r="AV1154" s="65"/>
      <c r="AW1154" s="65"/>
      <c r="AX1154" s="65"/>
      <c r="AY1154" s="65"/>
      <c r="AZ1154" s="65"/>
      <c r="BA1154" s="65"/>
      <c r="BB1154" s="65"/>
      <c r="BC1154" s="65"/>
      <c r="BD1154" s="65"/>
      <c r="BE1154" s="66"/>
    </row>
    <row r="1155" spans="1:57" s="48" customFormat="1" x14ac:dyDescent="0.2">
      <c r="A1155" s="722"/>
      <c r="B1155" s="721"/>
      <c r="C1155" s="569"/>
      <c r="D1155" s="470">
        <v>2025</v>
      </c>
      <c r="E1155" s="567">
        <f>F1155</f>
        <v>0.88949999999999996</v>
      </c>
      <c r="F1155" s="567">
        <f>F1163</f>
        <v>0.88949999999999996</v>
      </c>
      <c r="G1155" s="567">
        <v>0</v>
      </c>
      <c r="H1155" s="567">
        <v>0</v>
      </c>
      <c r="I1155" s="567">
        <v>0</v>
      </c>
      <c r="J1155" s="567">
        <v>0</v>
      </c>
      <c r="K1155" s="52">
        <f t="shared" si="477"/>
        <v>0.88949999999999996</v>
      </c>
      <c r="L1155" s="634"/>
      <c r="M1155" s="50"/>
      <c r="N1155" s="51"/>
      <c r="O1155" s="717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  <c r="AB1155" s="65"/>
      <c r="AC1155" s="65"/>
      <c r="AD1155" s="65"/>
      <c r="AE1155" s="65"/>
      <c r="AF1155" s="65"/>
      <c r="AG1155" s="65"/>
      <c r="AH1155" s="65"/>
      <c r="AI1155" s="65"/>
      <c r="AJ1155" s="65"/>
      <c r="AK1155" s="65"/>
      <c r="AL1155" s="65"/>
      <c r="AM1155" s="65"/>
      <c r="AN1155" s="65"/>
      <c r="AO1155" s="65"/>
      <c r="AP1155" s="65"/>
      <c r="AQ1155" s="65"/>
      <c r="AR1155" s="65"/>
      <c r="AS1155" s="65"/>
      <c r="AT1155" s="65"/>
      <c r="AU1155" s="65"/>
      <c r="AV1155" s="65"/>
      <c r="AW1155" s="65"/>
      <c r="AX1155" s="65"/>
      <c r="AY1155" s="65"/>
      <c r="AZ1155" s="65"/>
      <c r="BA1155" s="65"/>
      <c r="BB1155" s="65"/>
      <c r="BC1155" s="65"/>
      <c r="BD1155" s="65"/>
      <c r="BE1155" s="66"/>
    </row>
    <row r="1156" spans="1:57" s="48" customFormat="1" x14ac:dyDescent="0.2">
      <c r="A1156" s="722"/>
      <c r="B1156" s="721"/>
      <c r="C1156" s="569"/>
      <c r="D1156" s="470">
        <v>2026</v>
      </c>
      <c r="E1156" s="567">
        <f>F1156</f>
        <v>3.0659000000000001</v>
      </c>
      <c r="F1156" s="567">
        <f>F1164</f>
        <v>3.0659000000000001</v>
      </c>
      <c r="G1156" s="567">
        <v>0</v>
      </c>
      <c r="H1156" s="567">
        <v>0</v>
      </c>
      <c r="I1156" s="567">
        <v>0</v>
      </c>
      <c r="J1156" s="567">
        <v>0</v>
      </c>
      <c r="K1156" s="52">
        <f t="shared" si="477"/>
        <v>3.0659000000000001</v>
      </c>
      <c r="L1156" s="634"/>
      <c r="M1156" s="50"/>
      <c r="N1156" s="51"/>
      <c r="O1156" s="717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  <c r="AB1156" s="65"/>
      <c r="AC1156" s="65"/>
      <c r="AD1156" s="65"/>
      <c r="AE1156" s="65"/>
      <c r="AF1156" s="65"/>
      <c r="AG1156" s="65"/>
      <c r="AH1156" s="65"/>
      <c r="AI1156" s="65"/>
      <c r="AJ1156" s="65"/>
      <c r="AK1156" s="65"/>
      <c r="AL1156" s="65"/>
      <c r="AM1156" s="65"/>
      <c r="AN1156" s="65"/>
      <c r="AO1156" s="65"/>
      <c r="AP1156" s="65"/>
      <c r="AQ1156" s="65"/>
      <c r="AR1156" s="65"/>
      <c r="AS1156" s="65"/>
      <c r="AT1156" s="65"/>
      <c r="AU1156" s="65"/>
      <c r="AV1156" s="65"/>
      <c r="AW1156" s="65"/>
      <c r="AX1156" s="65"/>
      <c r="AY1156" s="65"/>
      <c r="AZ1156" s="65"/>
      <c r="BA1156" s="65"/>
      <c r="BB1156" s="65"/>
      <c r="BC1156" s="65"/>
      <c r="BD1156" s="65"/>
      <c r="BE1156" s="66"/>
    </row>
    <row r="1157" spans="1:57" s="48" customFormat="1" ht="46.5" customHeight="1" x14ac:dyDescent="0.2">
      <c r="A1157" s="491" t="s">
        <v>722</v>
      </c>
      <c r="B1157" s="490" t="s">
        <v>541</v>
      </c>
      <c r="C1157" s="569"/>
      <c r="D1157" s="470">
        <v>2019</v>
      </c>
      <c r="E1157" s="567">
        <f t="shared" ref="E1157:E1164" si="478">F1157+G1157+H1157+I1157+J1157</f>
        <v>0.53059000000000001</v>
      </c>
      <c r="F1157" s="567">
        <v>0.53059000000000001</v>
      </c>
      <c r="G1157" s="567">
        <v>0</v>
      </c>
      <c r="H1157" s="567">
        <v>0</v>
      </c>
      <c r="I1157" s="567">
        <v>0</v>
      </c>
      <c r="J1157" s="567">
        <v>0</v>
      </c>
      <c r="K1157" s="52">
        <f t="shared" si="477"/>
        <v>0.53059000000000001</v>
      </c>
      <c r="L1157" s="560"/>
      <c r="M1157" s="50"/>
      <c r="N1157" s="51"/>
      <c r="O1157" s="717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  <c r="AB1157" s="65"/>
      <c r="AC1157" s="65"/>
      <c r="AD1157" s="65"/>
      <c r="AE1157" s="65"/>
      <c r="AF1157" s="65"/>
      <c r="AG1157" s="65"/>
      <c r="AH1157" s="65"/>
      <c r="AI1157" s="65"/>
      <c r="AJ1157" s="65"/>
      <c r="AK1157" s="65"/>
      <c r="AL1157" s="65"/>
      <c r="AM1157" s="65"/>
      <c r="AN1157" s="65"/>
      <c r="AO1157" s="65"/>
      <c r="AP1157" s="65"/>
      <c r="AQ1157" s="65"/>
      <c r="AR1157" s="65"/>
      <c r="AS1157" s="65"/>
      <c r="AT1157" s="65"/>
      <c r="AU1157" s="65"/>
      <c r="AV1157" s="65"/>
      <c r="AW1157" s="65"/>
      <c r="AX1157" s="65"/>
      <c r="AY1157" s="65"/>
      <c r="AZ1157" s="65"/>
      <c r="BA1157" s="65"/>
      <c r="BB1157" s="65"/>
      <c r="BC1157" s="65"/>
      <c r="BD1157" s="65"/>
      <c r="BE1157" s="66"/>
    </row>
    <row r="1158" spans="1:57" s="48" customFormat="1" ht="66.75" customHeight="1" x14ac:dyDescent="0.2">
      <c r="A1158" s="491" t="s">
        <v>723</v>
      </c>
      <c r="B1158" s="490" t="s">
        <v>946</v>
      </c>
      <c r="C1158" s="569"/>
      <c r="D1158" s="470">
        <v>2020</v>
      </c>
      <c r="E1158" s="567">
        <f t="shared" si="478"/>
        <v>0.73109999999999997</v>
      </c>
      <c r="F1158" s="567">
        <v>0.73109999999999997</v>
      </c>
      <c r="G1158" s="567">
        <v>0</v>
      </c>
      <c r="H1158" s="567">
        <v>0</v>
      </c>
      <c r="I1158" s="567">
        <v>0</v>
      </c>
      <c r="J1158" s="567">
        <v>0</v>
      </c>
      <c r="K1158" s="52">
        <f t="shared" si="477"/>
        <v>0.73109999999999997</v>
      </c>
      <c r="L1158" s="560"/>
      <c r="M1158" s="50"/>
      <c r="N1158" s="51"/>
      <c r="O1158" s="717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  <c r="AB1158" s="65"/>
      <c r="AC1158" s="65"/>
      <c r="AD1158" s="65"/>
      <c r="AE1158" s="65"/>
      <c r="AF1158" s="65"/>
      <c r="AG1158" s="65"/>
      <c r="AH1158" s="65"/>
      <c r="AI1158" s="65"/>
      <c r="AJ1158" s="65"/>
      <c r="AK1158" s="65"/>
      <c r="AL1158" s="65"/>
      <c r="AM1158" s="65"/>
      <c r="AN1158" s="65"/>
      <c r="AO1158" s="65"/>
      <c r="AP1158" s="65"/>
      <c r="AQ1158" s="65"/>
      <c r="AR1158" s="65"/>
      <c r="AS1158" s="65"/>
      <c r="AT1158" s="65"/>
      <c r="AU1158" s="65"/>
      <c r="AV1158" s="65"/>
      <c r="AW1158" s="65"/>
      <c r="AX1158" s="65"/>
      <c r="AY1158" s="65"/>
      <c r="AZ1158" s="65"/>
      <c r="BA1158" s="65"/>
      <c r="BB1158" s="65"/>
      <c r="BC1158" s="65"/>
      <c r="BD1158" s="65"/>
      <c r="BE1158" s="66"/>
    </row>
    <row r="1159" spans="1:57" s="48" customFormat="1" ht="25.5" x14ac:dyDescent="0.2">
      <c r="A1159" s="491" t="s">
        <v>724</v>
      </c>
      <c r="B1159" s="490" t="s">
        <v>581</v>
      </c>
      <c r="C1159" s="569"/>
      <c r="D1159" s="470">
        <v>2021</v>
      </c>
      <c r="E1159" s="567">
        <f>F1159+G1159+H1159+I1159+J1159</f>
        <v>0.76029999999999998</v>
      </c>
      <c r="F1159" s="567">
        <v>0.76029999999999998</v>
      </c>
      <c r="G1159" s="567">
        <v>0</v>
      </c>
      <c r="H1159" s="567">
        <v>0</v>
      </c>
      <c r="I1159" s="567">
        <v>0</v>
      </c>
      <c r="J1159" s="567">
        <v>0</v>
      </c>
      <c r="K1159" s="52">
        <f t="shared" si="477"/>
        <v>0.76029999999999998</v>
      </c>
      <c r="L1159" s="560"/>
      <c r="M1159" s="50"/>
      <c r="N1159" s="51"/>
      <c r="O1159" s="717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  <c r="AB1159" s="65"/>
      <c r="AC1159" s="65"/>
      <c r="AD1159" s="65"/>
      <c r="AE1159" s="65"/>
      <c r="AF1159" s="65"/>
      <c r="AG1159" s="65"/>
      <c r="AH1159" s="65"/>
      <c r="AI1159" s="65"/>
      <c r="AJ1159" s="65"/>
      <c r="AK1159" s="65"/>
      <c r="AL1159" s="65"/>
      <c r="AM1159" s="65"/>
      <c r="AN1159" s="65"/>
      <c r="AO1159" s="65"/>
      <c r="AP1159" s="65"/>
      <c r="AQ1159" s="65"/>
      <c r="AR1159" s="65"/>
      <c r="AS1159" s="65"/>
      <c r="AT1159" s="65"/>
      <c r="AU1159" s="65"/>
      <c r="AV1159" s="65"/>
      <c r="AW1159" s="65"/>
      <c r="AX1159" s="65"/>
      <c r="AY1159" s="65"/>
      <c r="AZ1159" s="65"/>
      <c r="BA1159" s="65"/>
      <c r="BB1159" s="65"/>
      <c r="BC1159" s="65"/>
      <c r="BD1159" s="65"/>
      <c r="BE1159" s="66"/>
    </row>
    <row r="1160" spans="1:57" s="48" customFormat="1" ht="25.5" x14ac:dyDescent="0.2">
      <c r="A1160" s="491" t="s">
        <v>725</v>
      </c>
      <c r="B1160" s="490" t="s">
        <v>543</v>
      </c>
      <c r="C1160" s="569"/>
      <c r="D1160" s="470">
        <v>2022</v>
      </c>
      <c r="E1160" s="567">
        <f t="shared" si="478"/>
        <v>0.79079999999999995</v>
      </c>
      <c r="F1160" s="567">
        <v>0.79079999999999995</v>
      </c>
      <c r="G1160" s="567">
        <v>0</v>
      </c>
      <c r="H1160" s="567">
        <v>0</v>
      </c>
      <c r="I1160" s="567">
        <v>0</v>
      </c>
      <c r="J1160" s="567">
        <v>0</v>
      </c>
      <c r="K1160" s="52">
        <f t="shared" si="477"/>
        <v>0.79079999999999995</v>
      </c>
      <c r="L1160" s="560"/>
      <c r="M1160" s="50"/>
      <c r="N1160" s="51"/>
      <c r="O1160" s="717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  <c r="AB1160" s="65"/>
      <c r="AC1160" s="65"/>
      <c r="AD1160" s="65"/>
      <c r="AE1160" s="65"/>
      <c r="AF1160" s="65"/>
      <c r="AG1160" s="65"/>
      <c r="AH1160" s="65"/>
      <c r="AI1160" s="65"/>
      <c r="AJ1160" s="65"/>
      <c r="AK1160" s="65"/>
      <c r="AL1160" s="65"/>
      <c r="AM1160" s="65"/>
      <c r="AN1160" s="65"/>
      <c r="AO1160" s="65"/>
      <c r="AP1160" s="65"/>
      <c r="AQ1160" s="65"/>
      <c r="AR1160" s="65"/>
      <c r="AS1160" s="65"/>
      <c r="AT1160" s="65"/>
      <c r="AU1160" s="65"/>
      <c r="AV1160" s="65"/>
      <c r="AW1160" s="65"/>
      <c r="AX1160" s="65"/>
      <c r="AY1160" s="65"/>
      <c r="AZ1160" s="65"/>
      <c r="BA1160" s="65"/>
      <c r="BB1160" s="65"/>
      <c r="BC1160" s="65"/>
      <c r="BD1160" s="65"/>
      <c r="BE1160" s="66"/>
    </row>
    <row r="1161" spans="1:57" s="48" customFormat="1" ht="25.5" x14ac:dyDescent="0.2">
      <c r="A1161" s="488" t="s">
        <v>726</v>
      </c>
      <c r="B1161" s="490" t="s">
        <v>545</v>
      </c>
      <c r="C1161" s="569"/>
      <c r="D1161" s="470">
        <v>2023</v>
      </c>
      <c r="E1161" s="567">
        <f t="shared" si="478"/>
        <v>0.82240000000000002</v>
      </c>
      <c r="F1161" s="567">
        <v>0.82240000000000002</v>
      </c>
      <c r="G1161" s="567">
        <v>0</v>
      </c>
      <c r="H1161" s="567">
        <v>0</v>
      </c>
      <c r="I1161" s="567">
        <v>0</v>
      </c>
      <c r="J1161" s="567">
        <v>0</v>
      </c>
      <c r="K1161" s="52">
        <f t="shared" si="477"/>
        <v>0.82240000000000002</v>
      </c>
      <c r="L1161" s="560"/>
      <c r="M1161" s="50"/>
      <c r="N1161" s="51"/>
      <c r="O1161" s="717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  <c r="AB1161" s="65"/>
      <c r="AC1161" s="65"/>
      <c r="AD1161" s="65"/>
      <c r="AE1161" s="65"/>
      <c r="AF1161" s="65"/>
      <c r="AG1161" s="65"/>
      <c r="AH1161" s="65"/>
      <c r="AI1161" s="65"/>
      <c r="AJ1161" s="65"/>
      <c r="AK1161" s="65"/>
      <c r="AL1161" s="65"/>
      <c r="AM1161" s="65"/>
      <c r="AN1161" s="65"/>
      <c r="AO1161" s="65"/>
      <c r="AP1161" s="65"/>
      <c r="AQ1161" s="65"/>
      <c r="AR1161" s="65"/>
      <c r="AS1161" s="65"/>
      <c r="AT1161" s="65"/>
      <c r="AU1161" s="65"/>
      <c r="AV1161" s="65"/>
      <c r="AW1161" s="65"/>
      <c r="AX1161" s="65"/>
      <c r="AY1161" s="65"/>
      <c r="AZ1161" s="65"/>
      <c r="BA1161" s="65"/>
      <c r="BB1161" s="65"/>
      <c r="BC1161" s="65"/>
      <c r="BD1161" s="65"/>
      <c r="BE1161" s="66"/>
    </row>
    <row r="1162" spans="1:57" s="48" customFormat="1" ht="38.25" x14ac:dyDescent="0.2">
      <c r="A1162" s="488" t="s">
        <v>776</v>
      </c>
      <c r="B1162" s="490" t="s">
        <v>947</v>
      </c>
      <c r="C1162" s="569"/>
      <c r="D1162" s="470">
        <v>2024</v>
      </c>
      <c r="E1162" s="567">
        <f t="shared" si="478"/>
        <v>0.85529999999999995</v>
      </c>
      <c r="F1162" s="567">
        <v>0.85529999999999995</v>
      </c>
      <c r="G1162" s="567">
        <v>0</v>
      </c>
      <c r="H1162" s="567">
        <v>0</v>
      </c>
      <c r="I1162" s="567">
        <v>0</v>
      </c>
      <c r="J1162" s="567">
        <v>0</v>
      </c>
      <c r="K1162" s="52">
        <f t="shared" si="477"/>
        <v>0.85529999999999995</v>
      </c>
      <c r="L1162" s="560"/>
      <c r="M1162" s="50"/>
      <c r="N1162" s="51"/>
      <c r="O1162" s="717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  <c r="AB1162" s="65"/>
      <c r="AC1162" s="65"/>
      <c r="AD1162" s="65"/>
      <c r="AE1162" s="65"/>
      <c r="AF1162" s="65"/>
      <c r="AG1162" s="65"/>
      <c r="AH1162" s="65"/>
      <c r="AI1162" s="65"/>
      <c r="AJ1162" s="65"/>
      <c r="AK1162" s="65"/>
      <c r="AL1162" s="65"/>
      <c r="AM1162" s="65"/>
      <c r="AN1162" s="65"/>
      <c r="AO1162" s="65"/>
      <c r="AP1162" s="65"/>
      <c r="AQ1162" s="65"/>
      <c r="AR1162" s="65"/>
      <c r="AS1162" s="65"/>
      <c r="AT1162" s="65"/>
      <c r="AU1162" s="65"/>
      <c r="AV1162" s="65"/>
      <c r="AW1162" s="65"/>
      <c r="AX1162" s="65"/>
      <c r="AY1162" s="65"/>
      <c r="AZ1162" s="65"/>
      <c r="BA1162" s="65"/>
      <c r="BB1162" s="65"/>
      <c r="BC1162" s="65"/>
      <c r="BD1162" s="65"/>
      <c r="BE1162" s="66"/>
    </row>
    <row r="1163" spans="1:57" s="48" customFormat="1" ht="25.5" x14ac:dyDescent="0.2">
      <c r="A1163" s="488" t="s">
        <v>777</v>
      </c>
      <c r="B1163" s="490" t="s">
        <v>544</v>
      </c>
      <c r="C1163" s="569"/>
      <c r="D1163" s="470">
        <v>2025</v>
      </c>
      <c r="E1163" s="567">
        <f t="shared" si="478"/>
        <v>0.88949999999999996</v>
      </c>
      <c r="F1163" s="567">
        <v>0.88949999999999996</v>
      </c>
      <c r="G1163" s="567">
        <v>0</v>
      </c>
      <c r="H1163" s="567">
        <v>0</v>
      </c>
      <c r="I1163" s="567">
        <v>0</v>
      </c>
      <c r="J1163" s="567">
        <v>0</v>
      </c>
      <c r="K1163" s="52">
        <f t="shared" si="477"/>
        <v>0.88949999999999996</v>
      </c>
      <c r="L1163" s="560"/>
      <c r="M1163" s="50"/>
      <c r="N1163" s="51"/>
      <c r="O1163" s="717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  <c r="AB1163" s="65"/>
      <c r="AC1163" s="65"/>
      <c r="AD1163" s="65"/>
      <c r="AE1163" s="65"/>
      <c r="AF1163" s="65"/>
      <c r="AG1163" s="65"/>
      <c r="AH1163" s="65"/>
      <c r="AI1163" s="65"/>
      <c r="AJ1163" s="65"/>
      <c r="AK1163" s="65"/>
      <c r="AL1163" s="65"/>
      <c r="AM1163" s="65"/>
      <c r="AN1163" s="65"/>
      <c r="AO1163" s="65"/>
      <c r="AP1163" s="65"/>
      <c r="AQ1163" s="65"/>
      <c r="AR1163" s="65"/>
      <c r="AS1163" s="65"/>
      <c r="AT1163" s="65"/>
      <c r="AU1163" s="65"/>
      <c r="AV1163" s="65"/>
      <c r="AW1163" s="65"/>
      <c r="AX1163" s="65"/>
      <c r="AY1163" s="65"/>
      <c r="AZ1163" s="65"/>
      <c r="BA1163" s="65"/>
      <c r="BB1163" s="65"/>
      <c r="BC1163" s="65"/>
      <c r="BD1163" s="65"/>
      <c r="BE1163" s="66"/>
    </row>
    <row r="1164" spans="1:57" s="48" customFormat="1" ht="29.25" customHeight="1" x14ac:dyDescent="0.2">
      <c r="A1164" s="488" t="s">
        <v>778</v>
      </c>
      <c r="B1164" s="490" t="s">
        <v>542</v>
      </c>
      <c r="C1164" s="570"/>
      <c r="D1164" s="470">
        <v>2026</v>
      </c>
      <c r="E1164" s="567">
        <f t="shared" si="478"/>
        <v>3.0659000000000001</v>
      </c>
      <c r="F1164" s="567">
        <v>3.0659000000000001</v>
      </c>
      <c r="G1164" s="567">
        <v>0</v>
      </c>
      <c r="H1164" s="567">
        <v>0</v>
      </c>
      <c r="I1164" s="567">
        <v>0</v>
      </c>
      <c r="J1164" s="567">
        <v>0</v>
      </c>
      <c r="K1164" s="52">
        <f t="shared" si="477"/>
        <v>3.0659000000000001</v>
      </c>
      <c r="L1164" s="560"/>
      <c r="M1164" s="50"/>
      <c r="N1164" s="51"/>
      <c r="O1164" s="717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  <c r="AB1164" s="65"/>
      <c r="AC1164" s="65"/>
      <c r="AD1164" s="65"/>
      <c r="AE1164" s="65"/>
      <c r="AF1164" s="65"/>
      <c r="AG1164" s="65"/>
      <c r="AH1164" s="65"/>
      <c r="AI1164" s="65"/>
      <c r="AJ1164" s="65"/>
      <c r="AK1164" s="65"/>
      <c r="AL1164" s="65"/>
      <c r="AM1164" s="65"/>
      <c r="AN1164" s="65"/>
      <c r="AO1164" s="65"/>
      <c r="AP1164" s="65"/>
      <c r="AQ1164" s="65"/>
      <c r="AR1164" s="65"/>
      <c r="AS1164" s="65"/>
      <c r="AT1164" s="65"/>
      <c r="AU1164" s="65"/>
      <c r="AV1164" s="65"/>
      <c r="AW1164" s="65"/>
      <c r="AX1164" s="65"/>
      <c r="AY1164" s="65"/>
      <c r="AZ1164" s="65"/>
      <c r="BA1164" s="65"/>
      <c r="BB1164" s="65"/>
      <c r="BC1164" s="65"/>
      <c r="BD1164" s="65"/>
      <c r="BE1164" s="66"/>
    </row>
    <row r="1165" spans="1:57" s="65" customFormat="1" ht="38.25" customHeight="1" x14ac:dyDescent="0.2">
      <c r="A1165" s="957" t="s">
        <v>1113</v>
      </c>
      <c r="B1165" s="728" t="s">
        <v>1112</v>
      </c>
      <c r="C1165" s="569"/>
      <c r="D1165" s="544" t="s">
        <v>198</v>
      </c>
      <c r="E1165" s="474">
        <f>E1166+E1167+E1168+E1170+E1169+E1171+E1172</f>
        <v>1.4913000000000001</v>
      </c>
      <c r="F1165" s="474">
        <f>F1166+F1167+F1168+F1170+F1169+F1171+F1172</f>
        <v>1.4913000000000001</v>
      </c>
      <c r="G1165" s="474">
        <f t="shared" ref="G1165:J1165" si="479">G1166+G1167+G1168+G1170+G1169+G1171+G1172</f>
        <v>0</v>
      </c>
      <c r="H1165" s="474">
        <f t="shared" si="479"/>
        <v>0</v>
      </c>
      <c r="I1165" s="474">
        <f t="shared" si="479"/>
        <v>0</v>
      </c>
      <c r="J1165" s="474">
        <f t="shared" si="479"/>
        <v>0</v>
      </c>
      <c r="K1165" s="52">
        <f t="shared" si="477"/>
        <v>1.4913000000000001</v>
      </c>
      <c r="L1165" s="540"/>
      <c r="M1165" s="101"/>
      <c r="N1165" s="63"/>
      <c r="O1165" s="507"/>
    </row>
    <row r="1166" spans="1:57" s="65" customFormat="1" x14ac:dyDescent="0.2">
      <c r="A1166" s="958"/>
      <c r="B1166" s="729"/>
      <c r="C1166" s="569"/>
      <c r="D1166" s="485">
        <v>2019</v>
      </c>
      <c r="E1166" s="493">
        <f>F1166</f>
        <v>0.50270000000000004</v>
      </c>
      <c r="F1166" s="493">
        <v>0.50270000000000004</v>
      </c>
      <c r="G1166" s="493">
        <v>0</v>
      </c>
      <c r="H1166" s="493">
        <v>0</v>
      </c>
      <c r="I1166" s="493">
        <v>0</v>
      </c>
      <c r="J1166" s="493">
        <v>0</v>
      </c>
      <c r="K1166" s="52">
        <f t="shared" si="477"/>
        <v>0.50270000000000004</v>
      </c>
      <c r="L1166" s="540"/>
      <c r="M1166" s="101"/>
      <c r="N1166" s="63"/>
      <c r="O1166" s="507"/>
    </row>
    <row r="1167" spans="1:57" s="65" customFormat="1" x14ac:dyDescent="0.2">
      <c r="A1167" s="958"/>
      <c r="B1167" s="729"/>
      <c r="C1167" s="569"/>
      <c r="D1167" s="485">
        <v>2020</v>
      </c>
      <c r="E1167" s="493">
        <f t="shared" ref="E1167:E1172" si="480">F1167</f>
        <v>0.1487</v>
      </c>
      <c r="F1167" s="493">
        <v>0.1487</v>
      </c>
      <c r="G1167" s="493">
        <v>0</v>
      </c>
      <c r="H1167" s="493">
        <v>0</v>
      </c>
      <c r="I1167" s="493">
        <v>0</v>
      </c>
      <c r="J1167" s="493">
        <v>0</v>
      </c>
      <c r="K1167" s="52">
        <f t="shared" si="477"/>
        <v>0.1487</v>
      </c>
      <c r="L1167" s="540"/>
      <c r="M1167" s="101"/>
      <c r="N1167" s="63"/>
      <c r="O1167" s="507"/>
    </row>
    <row r="1168" spans="1:57" s="65" customFormat="1" x14ac:dyDescent="0.2">
      <c r="A1168" s="958"/>
      <c r="B1168" s="729"/>
      <c r="C1168" s="569"/>
      <c r="D1168" s="485">
        <v>2021</v>
      </c>
      <c r="E1168" s="493">
        <f t="shared" si="480"/>
        <v>0.1547</v>
      </c>
      <c r="F1168" s="493">
        <v>0.1547</v>
      </c>
      <c r="G1168" s="493">
        <v>0</v>
      </c>
      <c r="H1168" s="493">
        <v>0</v>
      </c>
      <c r="I1168" s="493">
        <v>0</v>
      </c>
      <c r="J1168" s="493">
        <v>0</v>
      </c>
      <c r="K1168" s="52">
        <f t="shared" si="477"/>
        <v>0.1547</v>
      </c>
      <c r="L1168" s="540"/>
      <c r="M1168" s="101"/>
      <c r="N1168" s="63"/>
      <c r="O1168" s="507"/>
    </row>
    <row r="1169" spans="1:15" s="65" customFormat="1" x14ac:dyDescent="0.2">
      <c r="A1169" s="958"/>
      <c r="B1169" s="729"/>
      <c r="C1169" s="569"/>
      <c r="D1169" s="485">
        <v>2022</v>
      </c>
      <c r="E1169" s="493">
        <f t="shared" si="480"/>
        <v>0.1608</v>
      </c>
      <c r="F1169" s="493">
        <v>0.1608</v>
      </c>
      <c r="G1169" s="493">
        <v>0</v>
      </c>
      <c r="H1169" s="493">
        <v>0</v>
      </c>
      <c r="I1169" s="493">
        <v>0</v>
      </c>
      <c r="J1169" s="493">
        <v>0</v>
      </c>
      <c r="K1169" s="52">
        <f t="shared" si="477"/>
        <v>0.1608</v>
      </c>
      <c r="L1169" s="540"/>
      <c r="M1169" s="101"/>
      <c r="N1169" s="63"/>
      <c r="O1169" s="507"/>
    </row>
    <row r="1170" spans="1:15" s="65" customFormat="1" x14ac:dyDescent="0.2">
      <c r="A1170" s="958"/>
      <c r="B1170" s="729"/>
      <c r="C1170" s="569"/>
      <c r="D1170" s="485">
        <v>2023</v>
      </c>
      <c r="E1170" s="493">
        <f t="shared" si="480"/>
        <v>0.16800000000000001</v>
      </c>
      <c r="F1170" s="493">
        <v>0.16800000000000001</v>
      </c>
      <c r="G1170" s="493">
        <v>0</v>
      </c>
      <c r="H1170" s="493">
        <v>0</v>
      </c>
      <c r="I1170" s="493">
        <v>0</v>
      </c>
      <c r="J1170" s="493">
        <v>0</v>
      </c>
      <c r="K1170" s="52">
        <f t="shared" si="477"/>
        <v>0.16800000000000001</v>
      </c>
      <c r="L1170" s="540"/>
      <c r="M1170" s="101"/>
      <c r="N1170" s="63"/>
      <c r="O1170" s="507"/>
    </row>
    <row r="1171" spans="1:15" s="65" customFormat="1" x14ac:dyDescent="0.2">
      <c r="A1171" s="958"/>
      <c r="B1171" s="729"/>
      <c r="C1171" s="569"/>
      <c r="D1171" s="485">
        <v>2024</v>
      </c>
      <c r="E1171" s="493">
        <f t="shared" si="480"/>
        <v>0.17469999999999999</v>
      </c>
      <c r="F1171" s="493">
        <v>0.17469999999999999</v>
      </c>
      <c r="G1171" s="493">
        <v>0</v>
      </c>
      <c r="H1171" s="493">
        <v>0</v>
      </c>
      <c r="I1171" s="493">
        <v>0</v>
      </c>
      <c r="J1171" s="493">
        <v>0</v>
      </c>
      <c r="K1171" s="52">
        <f t="shared" si="477"/>
        <v>0.17469999999999999</v>
      </c>
      <c r="L1171" s="540"/>
      <c r="M1171" s="101"/>
      <c r="N1171" s="63"/>
      <c r="O1171" s="507"/>
    </row>
    <row r="1172" spans="1:15" s="65" customFormat="1" x14ac:dyDescent="0.2">
      <c r="A1172" s="959"/>
      <c r="B1172" s="742"/>
      <c r="C1172" s="569"/>
      <c r="D1172" s="485">
        <v>2025</v>
      </c>
      <c r="E1172" s="493">
        <f t="shared" si="480"/>
        <v>0.1817</v>
      </c>
      <c r="F1172" s="493">
        <v>0.1817</v>
      </c>
      <c r="G1172" s="493">
        <v>0</v>
      </c>
      <c r="H1172" s="493">
        <v>0</v>
      </c>
      <c r="I1172" s="493">
        <v>0</v>
      </c>
      <c r="J1172" s="493">
        <v>0</v>
      </c>
      <c r="K1172" s="52">
        <f t="shared" si="477"/>
        <v>0.1817</v>
      </c>
      <c r="L1172" s="540"/>
      <c r="M1172" s="101"/>
      <c r="N1172" s="63"/>
      <c r="O1172" s="507"/>
    </row>
    <row r="1173" spans="1:15" s="65" customFormat="1" x14ac:dyDescent="0.2">
      <c r="A1173" s="635">
        <v>21</v>
      </c>
      <c r="B1173" s="649" t="s">
        <v>314</v>
      </c>
      <c r="C1173" s="710"/>
      <c r="D1173" s="544" t="s">
        <v>198</v>
      </c>
      <c r="E1173" s="474">
        <f>SUM(E1174:E1185)</f>
        <v>0.11700000000000001</v>
      </c>
      <c r="F1173" s="474">
        <f t="shared" ref="F1173:J1173" si="481">SUM(F1174:F1185)</f>
        <v>0.11700000000000001</v>
      </c>
      <c r="G1173" s="474">
        <f t="shared" si="481"/>
        <v>0</v>
      </c>
      <c r="H1173" s="474">
        <f t="shared" si="481"/>
        <v>0</v>
      </c>
      <c r="I1173" s="474">
        <f t="shared" si="481"/>
        <v>0</v>
      </c>
      <c r="J1173" s="474">
        <f t="shared" si="481"/>
        <v>0</v>
      </c>
      <c r="K1173" s="52">
        <f t="shared" si="477"/>
        <v>0.11700000000000001</v>
      </c>
      <c r="L1173" s="555"/>
      <c r="M1173" s="258"/>
      <c r="N1173" s="537"/>
      <c r="O1173" s="507"/>
    </row>
    <row r="1174" spans="1:15" s="65" customFormat="1" x14ac:dyDescent="0.2">
      <c r="A1174" s="636"/>
      <c r="B1174" s="725"/>
      <c r="C1174" s="711"/>
      <c r="D1174" s="544">
        <v>2019</v>
      </c>
      <c r="E1174" s="474">
        <f>E1198+E1200</f>
        <v>0.11700000000000001</v>
      </c>
      <c r="F1174" s="474">
        <f t="shared" ref="F1174:J1174" si="482">F1198+F1200</f>
        <v>0.11700000000000001</v>
      </c>
      <c r="G1174" s="474">
        <f t="shared" si="482"/>
        <v>0</v>
      </c>
      <c r="H1174" s="474">
        <f t="shared" si="482"/>
        <v>0</v>
      </c>
      <c r="I1174" s="474">
        <f t="shared" si="482"/>
        <v>0</v>
      </c>
      <c r="J1174" s="474">
        <f t="shared" si="482"/>
        <v>0</v>
      </c>
      <c r="K1174" s="52">
        <f t="shared" si="477"/>
        <v>0.11700000000000001</v>
      </c>
      <c r="L1174" s="555"/>
      <c r="M1174" s="258"/>
      <c r="N1174" s="537"/>
      <c r="O1174" s="507"/>
    </row>
    <row r="1175" spans="1:15" s="65" customFormat="1" x14ac:dyDescent="0.2">
      <c r="A1175" s="636"/>
      <c r="B1175" s="725"/>
      <c r="C1175" s="711"/>
      <c r="D1175" s="544">
        <v>2020</v>
      </c>
      <c r="E1175" s="474">
        <f>F1175+G1175+H1175+I1175+J1175</f>
        <v>0</v>
      </c>
      <c r="F1175" s="474">
        <f>F1187</f>
        <v>0</v>
      </c>
      <c r="G1175" s="474">
        <f>G1187+G1214</f>
        <v>0</v>
      </c>
      <c r="H1175" s="474">
        <f>H1187+H1214</f>
        <v>0</v>
      </c>
      <c r="I1175" s="474">
        <f>I1187+I1214</f>
        <v>0</v>
      </c>
      <c r="J1175" s="474">
        <f>J1187+J1214</f>
        <v>0</v>
      </c>
      <c r="K1175" s="52">
        <f t="shared" si="477"/>
        <v>0</v>
      </c>
      <c r="L1175" s="555"/>
      <c r="M1175" s="258"/>
      <c r="N1175" s="537"/>
      <c r="O1175" s="507"/>
    </row>
    <row r="1176" spans="1:15" s="65" customFormat="1" x14ac:dyDescent="0.2">
      <c r="A1176" s="636"/>
      <c r="B1176" s="725"/>
      <c r="C1176" s="711"/>
      <c r="D1176" s="544">
        <v>2021</v>
      </c>
      <c r="E1176" s="474">
        <f t="shared" ref="E1176:E1185" si="483">F1176+G1176+H1176+I1176+J1176</f>
        <v>0</v>
      </c>
      <c r="F1176" s="474">
        <f>F1187</f>
        <v>0</v>
      </c>
      <c r="G1176" s="474">
        <f t="shared" ref="G1176:J1176" si="484">G1187</f>
        <v>0</v>
      </c>
      <c r="H1176" s="474">
        <f t="shared" si="484"/>
        <v>0</v>
      </c>
      <c r="I1176" s="474">
        <f t="shared" si="484"/>
        <v>0</v>
      </c>
      <c r="J1176" s="474">
        <f t="shared" si="484"/>
        <v>0</v>
      </c>
      <c r="K1176" s="52">
        <f t="shared" si="477"/>
        <v>0</v>
      </c>
      <c r="L1176" s="555"/>
      <c r="M1176" s="258"/>
      <c r="N1176" s="537"/>
      <c r="O1176" s="507"/>
    </row>
    <row r="1177" spans="1:15" s="65" customFormat="1" x14ac:dyDescent="0.2">
      <c r="A1177" s="636"/>
      <c r="B1177" s="725"/>
      <c r="C1177" s="711"/>
      <c r="D1177" s="544">
        <v>2022</v>
      </c>
      <c r="E1177" s="474">
        <f t="shared" si="483"/>
        <v>0</v>
      </c>
      <c r="F1177" s="474">
        <f t="shared" ref="F1177:J1185" si="485">F1189</f>
        <v>0</v>
      </c>
      <c r="G1177" s="474">
        <f t="shared" si="485"/>
        <v>0</v>
      </c>
      <c r="H1177" s="474">
        <f t="shared" si="485"/>
        <v>0</v>
      </c>
      <c r="I1177" s="474">
        <f t="shared" si="485"/>
        <v>0</v>
      </c>
      <c r="J1177" s="474">
        <f t="shared" si="485"/>
        <v>0</v>
      </c>
      <c r="K1177" s="52">
        <f t="shared" si="477"/>
        <v>0</v>
      </c>
      <c r="L1177" s="555"/>
      <c r="M1177" s="258"/>
      <c r="N1177" s="537"/>
      <c r="O1177" s="507"/>
    </row>
    <row r="1178" spans="1:15" s="65" customFormat="1" x14ac:dyDescent="0.2">
      <c r="A1178" s="636"/>
      <c r="B1178" s="725"/>
      <c r="C1178" s="711"/>
      <c r="D1178" s="544">
        <v>2023</v>
      </c>
      <c r="E1178" s="474">
        <f t="shared" si="483"/>
        <v>0</v>
      </c>
      <c r="F1178" s="474">
        <f t="shared" si="485"/>
        <v>0</v>
      </c>
      <c r="G1178" s="474">
        <f t="shared" si="485"/>
        <v>0</v>
      </c>
      <c r="H1178" s="474">
        <f t="shared" si="485"/>
        <v>0</v>
      </c>
      <c r="I1178" s="474">
        <f t="shared" si="485"/>
        <v>0</v>
      </c>
      <c r="J1178" s="474">
        <f t="shared" si="485"/>
        <v>0</v>
      </c>
      <c r="K1178" s="52">
        <f t="shared" si="477"/>
        <v>0</v>
      </c>
      <c r="L1178" s="555"/>
      <c r="M1178" s="258"/>
      <c r="N1178" s="537"/>
      <c r="O1178" s="507"/>
    </row>
    <row r="1179" spans="1:15" s="65" customFormat="1" x14ac:dyDescent="0.2">
      <c r="A1179" s="636"/>
      <c r="B1179" s="725"/>
      <c r="C1179" s="711"/>
      <c r="D1179" s="544">
        <v>2024</v>
      </c>
      <c r="E1179" s="474">
        <f t="shared" si="483"/>
        <v>0</v>
      </c>
      <c r="F1179" s="474">
        <f t="shared" si="485"/>
        <v>0</v>
      </c>
      <c r="G1179" s="474">
        <f t="shared" si="485"/>
        <v>0</v>
      </c>
      <c r="H1179" s="474">
        <f t="shared" si="485"/>
        <v>0</v>
      </c>
      <c r="I1179" s="474">
        <f t="shared" si="485"/>
        <v>0</v>
      </c>
      <c r="J1179" s="474">
        <f t="shared" si="485"/>
        <v>0</v>
      </c>
      <c r="K1179" s="52">
        <f t="shared" si="477"/>
        <v>0</v>
      </c>
      <c r="L1179" s="555"/>
      <c r="M1179" s="258"/>
      <c r="N1179" s="537"/>
      <c r="O1179" s="507"/>
    </row>
    <row r="1180" spans="1:15" s="65" customFormat="1" x14ac:dyDescent="0.2">
      <c r="A1180" s="636"/>
      <c r="B1180" s="725"/>
      <c r="C1180" s="711"/>
      <c r="D1180" s="544">
        <v>2025</v>
      </c>
      <c r="E1180" s="474">
        <f t="shared" si="483"/>
        <v>0</v>
      </c>
      <c r="F1180" s="474">
        <f t="shared" si="485"/>
        <v>0</v>
      </c>
      <c r="G1180" s="474">
        <f t="shared" si="485"/>
        <v>0</v>
      </c>
      <c r="H1180" s="474">
        <f t="shared" si="485"/>
        <v>0</v>
      </c>
      <c r="I1180" s="474">
        <f t="shared" si="485"/>
        <v>0</v>
      </c>
      <c r="J1180" s="474">
        <f t="shared" si="485"/>
        <v>0</v>
      </c>
      <c r="K1180" s="52">
        <f t="shared" si="477"/>
        <v>0</v>
      </c>
      <c r="L1180" s="555"/>
      <c r="M1180" s="258"/>
      <c r="N1180" s="537"/>
      <c r="O1180" s="507"/>
    </row>
    <row r="1181" spans="1:15" s="65" customFormat="1" x14ac:dyDescent="0.2">
      <c r="A1181" s="636"/>
      <c r="B1181" s="725"/>
      <c r="C1181" s="711"/>
      <c r="D1181" s="544">
        <v>2026</v>
      </c>
      <c r="E1181" s="474">
        <f t="shared" si="483"/>
        <v>0</v>
      </c>
      <c r="F1181" s="474">
        <f t="shared" si="485"/>
        <v>0</v>
      </c>
      <c r="G1181" s="474">
        <f t="shared" si="485"/>
        <v>0</v>
      </c>
      <c r="H1181" s="474">
        <f t="shared" si="485"/>
        <v>0</v>
      </c>
      <c r="I1181" s="474">
        <f t="shared" si="485"/>
        <v>0</v>
      </c>
      <c r="J1181" s="474">
        <f t="shared" si="485"/>
        <v>0</v>
      </c>
      <c r="K1181" s="52">
        <f t="shared" si="477"/>
        <v>0</v>
      </c>
      <c r="L1181" s="555"/>
      <c r="M1181" s="258"/>
      <c r="N1181" s="537"/>
      <c r="O1181" s="507"/>
    </row>
    <row r="1182" spans="1:15" s="65" customFormat="1" x14ac:dyDescent="0.2">
      <c r="A1182" s="636"/>
      <c r="B1182" s="725"/>
      <c r="C1182" s="711"/>
      <c r="D1182" s="544">
        <v>2027</v>
      </c>
      <c r="E1182" s="474">
        <f t="shared" si="483"/>
        <v>0</v>
      </c>
      <c r="F1182" s="474">
        <f t="shared" si="485"/>
        <v>0</v>
      </c>
      <c r="G1182" s="474">
        <f t="shared" si="485"/>
        <v>0</v>
      </c>
      <c r="H1182" s="474">
        <f t="shared" si="485"/>
        <v>0</v>
      </c>
      <c r="I1182" s="474">
        <f t="shared" si="485"/>
        <v>0</v>
      </c>
      <c r="J1182" s="474">
        <f t="shared" si="485"/>
        <v>0</v>
      </c>
      <c r="K1182" s="52">
        <f t="shared" si="477"/>
        <v>0</v>
      </c>
      <c r="L1182" s="555"/>
      <c r="M1182" s="258"/>
      <c r="N1182" s="537"/>
      <c r="O1182" s="507"/>
    </row>
    <row r="1183" spans="1:15" s="65" customFormat="1" x14ac:dyDescent="0.2">
      <c r="A1183" s="636"/>
      <c r="B1183" s="725"/>
      <c r="C1183" s="711"/>
      <c r="D1183" s="544">
        <v>2028</v>
      </c>
      <c r="E1183" s="474">
        <f t="shared" si="483"/>
        <v>0</v>
      </c>
      <c r="F1183" s="474">
        <f t="shared" si="485"/>
        <v>0</v>
      </c>
      <c r="G1183" s="474">
        <f t="shared" si="485"/>
        <v>0</v>
      </c>
      <c r="H1183" s="474">
        <f t="shared" si="485"/>
        <v>0</v>
      </c>
      <c r="I1183" s="474">
        <f t="shared" si="485"/>
        <v>0</v>
      </c>
      <c r="J1183" s="474">
        <f t="shared" si="485"/>
        <v>0</v>
      </c>
      <c r="K1183" s="52">
        <f t="shared" si="477"/>
        <v>0</v>
      </c>
      <c r="L1183" s="555"/>
      <c r="M1183" s="258"/>
      <c r="N1183" s="537"/>
      <c r="O1183" s="507"/>
    </row>
    <row r="1184" spans="1:15" s="65" customFormat="1" x14ac:dyDescent="0.2">
      <c r="A1184" s="636"/>
      <c r="B1184" s="725"/>
      <c r="C1184" s="711"/>
      <c r="D1184" s="544">
        <v>2029</v>
      </c>
      <c r="E1184" s="474">
        <f t="shared" si="483"/>
        <v>0</v>
      </c>
      <c r="F1184" s="474">
        <f t="shared" si="485"/>
        <v>0</v>
      </c>
      <c r="G1184" s="474">
        <f t="shared" si="485"/>
        <v>0</v>
      </c>
      <c r="H1184" s="474">
        <f t="shared" si="485"/>
        <v>0</v>
      </c>
      <c r="I1184" s="474">
        <f t="shared" si="485"/>
        <v>0</v>
      </c>
      <c r="J1184" s="474">
        <f t="shared" si="485"/>
        <v>0</v>
      </c>
      <c r="K1184" s="52">
        <f t="shared" si="477"/>
        <v>0</v>
      </c>
      <c r="L1184" s="555"/>
      <c r="M1184" s="258"/>
      <c r="N1184" s="537"/>
      <c r="O1184" s="507"/>
    </row>
    <row r="1185" spans="1:15" s="65" customFormat="1" x14ac:dyDescent="0.2">
      <c r="A1185" s="637"/>
      <c r="B1185" s="726"/>
      <c r="C1185" s="712"/>
      <c r="D1185" s="544">
        <v>2030</v>
      </c>
      <c r="E1185" s="474">
        <f t="shared" si="483"/>
        <v>0</v>
      </c>
      <c r="F1185" s="474">
        <f t="shared" si="485"/>
        <v>0</v>
      </c>
      <c r="G1185" s="474">
        <f t="shared" si="485"/>
        <v>0</v>
      </c>
      <c r="H1185" s="474">
        <f t="shared" si="485"/>
        <v>0</v>
      </c>
      <c r="I1185" s="474">
        <f t="shared" si="485"/>
        <v>0</v>
      </c>
      <c r="J1185" s="474">
        <f t="shared" si="485"/>
        <v>0</v>
      </c>
      <c r="K1185" s="52">
        <f t="shared" si="477"/>
        <v>0</v>
      </c>
      <c r="L1185" s="555"/>
      <c r="M1185" s="258"/>
      <c r="N1185" s="537"/>
      <c r="O1185" s="507"/>
    </row>
    <row r="1186" spans="1:15" s="65" customFormat="1" x14ac:dyDescent="0.2">
      <c r="A1186" s="673" t="s">
        <v>1098</v>
      </c>
      <c r="B1186" s="631" t="s">
        <v>764</v>
      </c>
      <c r="C1186" s="506"/>
      <c r="D1186" s="544" t="s">
        <v>198</v>
      </c>
      <c r="E1186" s="474">
        <f t="shared" ref="E1186:J1186" si="486">SUM(E1187:E1197)</f>
        <v>0</v>
      </c>
      <c r="F1186" s="474">
        <f t="shared" si="486"/>
        <v>0</v>
      </c>
      <c r="G1186" s="474">
        <f t="shared" si="486"/>
        <v>0</v>
      </c>
      <c r="H1186" s="474">
        <f t="shared" si="486"/>
        <v>0</v>
      </c>
      <c r="I1186" s="474">
        <f t="shared" si="486"/>
        <v>0</v>
      </c>
      <c r="J1186" s="474">
        <f t="shared" si="486"/>
        <v>0</v>
      </c>
      <c r="K1186" s="52">
        <f t="shared" si="477"/>
        <v>0</v>
      </c>
      <c r="L1186" s="555"/>
      <c r="M1186" s="258"/>
      <c r="N1186" s="537"/>
      <c r="O1186" s="670" t="s">
        <v>739</v>
      </c>
    </row>
    <row r="1187" spans="1:15" s="65" customFormat="1" x14ac:dyDescent="0.2">
      <c r="A1187" s="713"/>
      <c r="B1187" s="648"/>
      <c r="C1187" s="723"/>
      <c r="D1187" s="485">
        <v>2020</v>
      </c>
      <c r="E1187" s="493">
        <f t="shared" ref="E1187:E1197" si="487">F1187+G1187+H1187+I1187+J1187</f>
        <v>0</v>
      </c>
      <c r="F1187" s="493">
        <v>0</v>
      </c>
      <c r="G1187" s="493">
        <v>0</v>
      </c>
      <c r="H1187" s="493">
        <v>0</v>
      </c>
      <c r="I1187" s="493">
        <v>0</v>
      </c>
      <c r="J1187" s="493">
        <v>0</v>
      </c>
      <c r="K1187" s="52">
        <f t="shared" si="477"/>
        <v>0</v>
      </c>
      <c r="L1187" s="555"/>
      <c r="M1187" s="258"/>
      <c r="N1187" s="537"/>
      <c r="O1187" s="671"/>
    </row>
    <row r="1188" spans="1:15" s="65" customFormat="1" ht="12.75" customHeight="1" x14ac:dyDescent="0.2">
      <c r="A1188" s="713"/>
      <c r="B1188" s="648"/>
      <c r="C1188" s="723"/>
      <c r="D1188" s="485">
        <v>2021</v>
      </c>
      <c r="E1188" s="493">
        <f t="shared" si="487"/>
        <v>0</v>
      </c>
      <c r="F1188" s="493">
        <v>0</v>
      </c>
      <c r="G1188" s="493">
        <v>0</v>
      </c>
      <c r="H1188" s="493">
        <v>0</v>
      </c>
      <c r="I1188" s="493">
        <v>0</v>
      </c>
      <c r="J1188" s="493">
        <v>0</v>
      </c>
      <c r="K1188" s="52">
        <f t="shared" si="477"/>
        <v>0</v>
      </c>
      <c r="L1188" s="555"/>
      <c r="M1188" s="258"/>
      <c r="N1188" s="537"/>
      <c r="O1188" s="671"/>
    </row>
    <row r="1189" spans="1:15" s="65" customFormat="1" x14ac:dyDescent="0.2">
      <c r="A1189" s="713"/>
      <c r="B1189" s="648"/>
      <c r="C1189" s="723"/>
      <c r="D1189" s="485">
        <v>2022</v>
      </c>
      <c r="E1189" s="493">
        <f t="shared" si="487"/>
        <v>0</v>
      </c>
      <c r="F1189" s="493">
        <v>0</v>
      </c>
      <c r="G1189" s="493">
        <v>0</v>
      </c>
      <c r="H1189" s="493">
        <v>0</v>
      </c>
      <c r="I1189" s="493">
        <v>0</v>
      </c>
      <c r="J1189" s="493">
        <v>0</v>
      </c>
      <c r="K1189" s="52">
        <f t="shared" si="477"/>
        <v>0</v>
      </c>
      <c r="L1189" s="555"/>
      <c r="M1189" s="258"/>
      <c r="N1189" s="537"/>
      <c r="O1189" s="671"/>
    </row>
    <row r="1190" spans="1:15" s="65" customFormat="1" x14ac:dyDescent="0.2">
      <c r="A1190" s="713"/>
      <c r="B1190" s="648"/>
      <c r="C1190" s="723"/>
      <c r="D1190" s="485">
        <v>2023</v>
      </c>
      <c r="E1190" s="493">
        <f t="shared" si="487"/>
        <v>0</v>
      </c>
      <c r="F1190" s="493">
        <v>0</v>
      </c>
      <c r="G1190" s="493">
        <v>0</v>
      </c>
      <c r="H1190" s="493">
        <v>0</v>
      </c>
      <c r="I1190" s="493">
        <v>0</v>
      </c>
      <c r="J1190" s="493">
        <v>0</v>
      </c>
      <c r="K1190" s="52">
        <f t="shared" si="477"/>
        <v>0</v>
      </c>
      <c r="L1190" s="555"/>
      <c r="M1190" s="258"/>
      <c r="N1190" s="537"/>
      <c r="O1190" s="671"/>
    </row>
    <row r="1191" spans="1:15" s="65" customFormat="1" x14ac:dyDescent="0.2">
      <c r="A1191" s="713"/>
      <c r="B1191" s="648"/>
      <c r="C1191" s="723"/>
      <c r="D1191" s="485">
        <v>2024</v>
      </c>
      <c r="E1191" s="493">
        <f t="shared" si="487"/>
        <v>0</v>
      </c>
      <c r="F1191" s="493">
        <v>0</v>
      </c>
      <c r="G1191" s="493">
        <v>0</v>
      </c>
      <c r="H1191" s="493">
        <v>0</v>
      </c>
      <c r="I1191" s="493">
        <v>0</v>
      </c>
      <c r="J1191" s="493">
        <v>0</v>
      </c>
      <c r="K1191" s="52">
        <f t="shared" si="477"/>
        <v>0</v>
      </c>
      <c r="L1191" s="555"/>
      <c r="M1191" s="258"/>
      <c r="N1191" s="537"/>
      <c r="O1191" s="671"/>
    </row>
    <row r="1192" spans="1:15" s="65" customFormat="1" x14ac:dyDescent="0.2">
      <c r="A1192" s="713"/>
      <c r="B1192" s="648"/>
      <c r="C1192" s="724"/>
      <c r="D1192" s="485">
        <v>2025</v>
      </c>
      <c r="E1192" s="493">
        <f t="shared" si="487"/>
        <v>0</v>
      </c>
      <c r="F1192" s="493">
        <v>0</v>
      </c>
      <c r="G1192" s="493">
        <v>0</v>
      </c>
      <c r="H1192" s="493">
        <v>0</v>
      </c>
      <c r="I1192" s="493">
        <v>0</v>
      </c>
      <c r="J1192" s="493">
        <v>0</v>
      </c>
      <c r="K1192" s="52">
        <f t="shared" si="477"/>
        <v>0</v>
      </c>
      <c r="L1192" s="555"/>
      <c r="M1192" s="258"/>
      <c r="N1192" s="537"/>
      <c r="O1192" s="671"/>
    </row>
    <row r="1193" spans="1:15" s="65" customFormat="1" x14ac:dyDescent="0.2">
      <c r="A1193" s="713"/>
      <c r="B1193" s="648"/>
      <c r="C1193" s="678" t="s">
        <v>765</v>
      </c>
      <c r="D1193" s="485">
        <v>2026</v>
      </c>
      <c r="E1193" s="493">
        <f t="shared" si="487"/>
        <v>0</v>
      </c>
      <c r="F1193" s="493">
        <v>0</v>
      </c>
      <c r="G1193" s="493">
        <v>0</v>
      </c>
      <c r="H1193" s="493">
        <v>0</v>
      </c>
      <c r="I1193" s="493">
        <v>0</v>
      </c>
      <c r="J1193" s="493">
        <v>0</v>
      </c>
      <c r="K1193" s="52">
        <f t="shared" si="477"/>
        <v>0</v>
      </c>
      <c r="L1193" s="555"/>
      <c r="M1193" s="258"/>
      <c r="N1193" s="537"/>
      <c r="O1193" s="671"/>
    </row>
    <row r="1194" spans="1:15" s="65" customFormat="1" x14ac:dyDescent="0.2">
      <c r="A1194" s="713"/>
      <c r="B1194" s="648"/>
      <c r="C1194" s="678"/>
      <c r="D1194" s="485">
        <v>2027</v>
      </c>
      <c r="E1194" s="493">
        <f t="shared" si="487"/>
        <v>0</v>
      </c>
      <c r="F1194" s="493">
        <v>0</v>
      </c>
      <c r="G1194" s="493">
        <v>0</v>
      </c>
      <c r="H1194" s="493">
        <v>0</v>
      </c>
      <c r="I1194" s="493">
        <v>0</v>
      </c>
      <c r="J1194" s="493">
        <v>0</v>
      </c>
      <c r="K1194" s="52">
        <f t="shared" si="477"/>
        <v>0</v>
      </c>
      <c r="L1194" s="555"/>
      <c r="M1194" s="258"/>
      <c r="N1194" s="537"/>
      <c r="O1194" s="671"/>
    </row>
    <row r="1195" spans="1:15" s="65" customFormat="1" x14ac:dyDescent="0.2">
      <c r="A1195" s="713"/>
      <c r="B1195" s="648"/>
      <c r="C1195" s="678"/>
      <c r="D1195" s="485">
        <v>2028</v>
      </c>
      <c r="E1195" s="493">
        <f t="shared" si="487"/>
        <v>0</v>
      </c>
      <c r="F1195" s="493">
        <v>0</v>
      </c>
      <c r="G1195" s="493">
        <v>0</v>
      </c>
      <c r="H1195" s="493">
        <v>0</v>
      </c>
      <c r="I1195" s="493">
        <v>0</v>
      </c>
      <c r="J1195" s="493">
        <v>0</v>
      </c>
      <c r="K1195" s="52">
        <f t="shared" si="477"/>
        <v>0</v>
      </c>
      <c r="L1195" s="555"/>
      <c r="M1195" s="258"/>
      <c r="N1195" s="537"/>
      <c r="O1195" s="671"/>
    </row>
    <row r="1196" spans="1:15" s="65" customFormat="1" x14ac:dyDescent="0.2">
      <c r="A1196" s="713"/>
      <c r="B1196" s="648"/>
      <c r="C1196" s="678"/>
      <c r="D1196" s="485">
        <v>2029</v>
      </c>
      <c r="E1196" s="493">
        <f t="shared" si="487"/>
        <v>0</v>
      </c>
      <c r="F1196" s="493">
        <v>0</v>
      </c>
      <c r="G1196" s="493">
        <v>0</v>
      </c>
      <c r="H1196" s="493">
        <v>0</v>
      </c>
      <c r="I1196" s="493">
        <v>0</v>
      </c>
      <c r="J1196" s="493">
        <v>0</v>
      </c>
      <c r="K1196" s="52">
        <f t="shared" si="477"/>
        <v>0</v>
      </c>
      <c r="L1196" s="555"/>
      <c r="M1196" s="258"/>
      <c r="N1196" s="537"/>
      <c r="O1196" s="671"/>
    </row>
    <row r="1197" spans="1:15" s="65" customFormat="1" x14ac:dyDescent="0.2">
      <c r="A1197" s="674"/>
      <c r="B1197" s="632"/>
      <c r="C1197" s="678"/>
      <c r="D1197" s="485">
        <v>2030</v>
      </c>
      <c r="E1197" s="493">
        <f t="shared" si="487"/>
        <v>0</v>
      </c>
      <c r="F1197" s="493">
        <v>0</v>
      </c>
      <c r="G1197" s="493">
        <v>0</v>
      </c>
      <c r="H1197" s="493">
        <v>0</v>
      </c>
      <c r="I1197" s="493">
        <v>0</v>
      </c>
      <c r="J1197" s="493">
        <v>0</v>
      </c>
      <c r="K1197" s="52">
        <f t="shared" si="477"/>
        <v>0</v>
      </c>
      <c r="L1197" s="555"/>
      <c r="M1197" s="258"/>
      <c r="N1197" s="537"/>
      <c r="O1197" s="672"/>
    </row>
    <row r="1198" spans="1:15" s="65" customFormat="1" ht="63.75" x14ac:dyDescent="0.2">
      <c r="A1198" s="471" t="s">
        <v>1097</v>
      </c>
      <c r="B1198" s="490" t="s">
        <v>842</v>
      </c>
      <c r="C1198" s="511" t="s">
        <v>738</v>
      </c>
      <c r="D1198" s="485">
        <v>2019</v>
      </c>
      <c r="E1198" s="493">
        <v>0.11700000000000001</v>
      </c>
      <c r="F1198" s="493">
        <v>0.11700000000000001</v>
      </c>
      <c r="G1198" s="493">
        <v>0</v>
      </c>
      <c r="H1198" s="493">
        <v>0</v>
      </c>
      <c r="I1198" s="493">
        <v>0</v>
      </c>
      <c r="J1198" s="493">
        <v>0</v>
      </c>
      <c r="K1198" s="52">
        <f t="shared" si="477"/>
        <v>0.11700000000000001</v>
      </c>
      <c r="L1198" s="555"/>
      <c r="M1198" s="258"/>
      <c r="N1198" s="537"/>
      <c r="O1198" s="629" t="s">
        <v>809</v>
      </c>
    </row>
    <row r="1199" spans="1:15" s="65" customFormat="1" ht="18" customHeight="1" x14ac:dyDescent="0.2">
      <c r="A1199" s="630" t="s">
        <v>1096</v>
      </c>
      <c r="B1199" s="631" t="s">
        <v>808</v>
      </c>
      <c r="C1199" s="504"/>
      <c r="D1199" s="544" t="s">
        <v>198</v>
      </c>
      <c r="E1199" s="474">
        <f>E1200</f>
        <v>0</v>
      </c>
      <c r="F1199" s="474">
        <f t="shared" ref="F1199:J1199" si="488">F1200</f>
        <v>0</v>
      </c>
      <c r="G1199" s="474">
        <f t="shared" si="488"/>
        <v>0</v>
      </c>
      <c r="H1199" s="474">
        <f t="shared" si="488"/>
        <v>0</v>
      </c>
      <c r="I1199" s="474">
        <f t="shared" si="488"/>
        <v>0</v>
      </c>
      <c r="J1199" s="474">
        <f t="shared" si="488"/>
        <v>0</v>
      </c>
      <c r="K1199" s="52">
        <f t="shared" si="477"/>
        <v>0</v>
      </c>
      <c r="L1199" s="555"/>
      <c r="M1199" s="258"/>
      <c r="N1199" s="537"/>
      <c r="O1199" s="629"/>
    </row>
    <row r="1200" spans="1:15" s="65" customFormat="1" ht="27.75" customHeight="1" x14ac:dyDescent="0.2">
      <c r="A1200" s="630"/>
      <c r="B1200" s="632"/>
      <c r="C1200" s="511" t="s">
        <v>738</v>
      </c>
      <c r="D1200" s="485">
        <v>2019</v>
      </c>
      <c r="E1200" s="493">
        <f>F1200+G1200+H1200+I1200+J1200</f>
        <v>0</v>
      </c>
      <c r="F1200" s="493">
        <v>0</v>
      </c>
      <c r="G1200" s="493">
        <v>0</v>
      </c>
      <c r="H1200" s="493">
        <v>0</v>
      </c>
      <c r="I1200" s="493">
        <v>0</v>
      </c>
      <c r="J1200" s="493">
        <v>0</v>
      </c>
      <c r="K1200" s="52">
        <f t="shared" si="477"/>
        <v>0</v>
      </c>
      <c r="L1200" s="555"/>
      <c r="M1200" s="258"/>
      <c r="N1200" s="537"/>
      <c r="O1200" s="629"/>
    </row>
    <row r="1201" spans="1:15" s="65" customFormat="1" ht="23.25" customHeight="1" x14ac:dyDescent="0.2">
      <c r="A1201" s="667" t="s">
        <v>953</v>
      </c>
      <c r="B1201" s="649" t="s">
        <v>952</v>
      </c>
      <c r="C1201" s="638" t="s">
        <v>949</v>
      </c>
      <c r="D1201" s="544" t="s">
        <v>198</v>
      </c>
      <c r="E1201" s="474">
        <f>E1202+E1203+E1204+E1205+E1206+E1207+E1208+E1209+E1210+E1211+E1212</f>
        <v>42.221675363553281</v>
      </c>
      <c r="F1201" s="474">
        <f>F1202+F1203+F1204+F1205+F1206+F1207+F1208+F1209+F1210+F1211+F1212</f>
        <v>42.221675363553281</v>
      </c>
      <c r="G1201" s="474">
        <f t="shared" ref="G1201:J1201" si="489">G1202+G1203+G1204+G1205+G1206+G1207+G1208+G1209+G1210+G1211+G1212</f>
        <v>0</v>
      </c>
      <c r="H1201" s="474">
        <f t="shared" si="489"/>
        <v>0</v>
      </c>
      <c r="I1201" s="474">
        <f t="shared" si="489"/>
        <v>0</v>
      </c>
      <c r="J1201" s="474">
        <f t="shared" si="489"/>
        <v>0</v>
      </c>
      <c r="K1201" s="52">
        <f t="shared" si="477"/>
        <v>42.221675363553281</v>
      </c>
      <c r="L1201" s="555"/>
      <c r="M1201" s="258"/>
      <c r="N1201" s="537"/>
      <c r="O1201" s="670" t="s">
        <v>809</v>
      </c>
    </row>
    <row r="1202" spans="1:15" s="65" customFormat="1" x14ac:dyDescent="0.2">
      <c r="A1202" s="668"/>
      <c r="B1202" s="650"/>
      <c r="C1202" s="639"/>
      <c r="D1202" s="485">
        <v>2020</v>
      </c>
      <c r="E1202" s="493">
        <f>E1214+E1216+E1228</f>
        <v>7.4136959999999998</v>
      </c>
      <c r="F1202" s="493">
        <f>F1214+F1216+F1228</f>
        <v>7.4136959999999998</v>
      </c>
      <c r="G1202" s="493">
        <f t="shared" ref="G1202:I1202" si="490">G1214+G1216+G1228</f>
        <v>0</v>
      </c>
      <c r="H1202" s="493">
        <f t="shared" si="490"/>
        <v>0</v>
      </c>
      <c r="I1202" s="493">
        <f t="shared" si="490"/>
        <v>0</v>
      </c>
      <c r="J1202" s="493">
        <f>J1214+J1216+J1228</f>
        <v>0</v>
      </c>
      <c r="K1202" s="52">
        <f t="shared" si="477"/>
        <v>7.4136959999999998</v>
      </c>
      <c r="L1202" s="555"/>
      <c r="M1202" s="258"/>
      <c r="N1202" s="537"/>
      <c r="O1202" s="671"/>
    </row>
    <row r="1203" spans="1:15" s="65" customFormat="1" x14ac:dyDescent="0.2">
      <c r="A1203" s="668"/>
      <c r="B1203" s="650"/>
      <c r="C1203" s="639"/>
      <c r="D1203" s="485">
        <v>2021</v>
      </c>
      <c r="E1203" s="493">
        <f>F1203+G1203+H1203+I1203+J1203</f>
        <v>2.8969</v>
      </c>
      <c r="F1203" s="493">
        <f>F1217</f>
        <v>2.8969</v>
      </c>
      <c r="G1203" s="493">
        <f t="shared" ref="G1203:J1212" si="491">G1215+G1217</f>
        <v>0</v>
      </c>
      <c r="H1203" s="493">
        <f t="shared" si="491"/>
        <v>0</v>
      </c>
      <c r="I1203" s="493">
        <f t="shared" si="491"/>
        <v>0</v>
      </c>
      <c r="J1203" s="493">
        <f t="shared" si="491"/>
        <v>0</v>
      </c>
      <c r="K1203" s="52">
        <f t="shared" si="477"/>
        <v>2.8969</v>
      </c>
      <c r="L1203" s="555"/>
      <c r="M1203" s="258"/>
      <c r="N1203" s="537"/>
      <c r="O1203" s="671"/>
    </row>
    <row r="1204" spans="1:15" s="65" customFormat="1" x14ac:dyDescent="0.2">
      <c r="A1204" s="668"/>
      <c r="B1204" s="650"/>
      <c r="C1204" s="639"/>
      <c r="D1204" s="485">
        <v>2022</v>
      </c>
      <c r="E1204" s="493">
        <f t="shared" ref="E1204:E1212" si="492">F1204+G1204+H1204+I1204+J1204</f>
        <v>3.0127000000000002</v>
      </c>
      <c r="F1204" s="493">
        <f>F1218</f>
        <v>3.0127000000000002</v>
      </c>
      <c r="G1204" s="493">
        <f t="shared" si="491"/>
        <v>0</v>
      </c>
      <c r="H1204" s="493">
        <f t="shared" si="491"/>
        <v>0</v>
      </c>
      <c r="I1204" s="493">
        <f t="shared" si="491"/>
        <v>0</v>
      </c>
      <c r="J1204" s="493">
        <f t="shared" si="491"/>
        <v>0</v>
      </c>
      <c r="K1204" s="52">
        <f t="shared" si="477"/>
        <v>3.0127000000000002</v>
      </c>
      <c r="L1204" s="555"/>
      <c r="M1204" s="258"/>
      <c r="N1204" s="537"/>
      <c r="O1204" s="671"/>
    </row>
    <row r="1205" spans="1:15" s="65" customFormat="1" x14ac:dyDescent="0.2">
      <c r="A1205" s="668"/>
      <c r="B1205" s="650"/>
      <c r="C1205" s="639"/>
      <c r="D1205" s="485">
        <v>2023</v>
      </c>
      <c r="E1205" s="493">
        <f t="shared" si="492"/>
        <v>3.1362999999999999</v>
      </c>
      <c r="F1205" s="493">
        <f>F1219</f>
        <v>3.1362999999999999</v>
      </c>
      <c r="G1205" s="493">
        <f t="shared" si="491"/>
        <v>0</v>
      </c>
      <c r="H1205" s="493">
        <f t="shared" si="491"/>
        <v>0</v>
      </c>
      <c r="I1205" s="493">
        <f t="shared" si="491"/>
        <v>0</v>
      </c>
      <c r="J1205" s="493">
        <f t="shared" si="491"/>
        <v>0</v>
      </c>
      <c r="K1205" s="52">
        <f t="shared" si="477"/>
        <v>3.1362999999999999</v>
      </c>
      <c r="L1205" s="555"/>
      <c r="M1205" s="258"/>
      <c r="N1205" s="537"/>
      <c r="O1205" s="671"/>
    </row>
    <row r="1206" spans="1:15" s="65" customFormat="1" x14ac:dyDescent="0.2">
      <c r="A1206" s="668"/>
      <c r="B1206" s="650"/>
      <c r="C1206" s="639"/>
      <c r="D1206" s="485">
        <v>2024</v>
      </c>
      <c r="E1206" s="493">
        <f t="shared" si="492"/>
        <v>3.2616999999999998</v>
      </c>
      <c r="F1206" s="493">
        <f t="shared" ref="F1206:F1212" si="493">F1220</f>
        <v>3.2616999999999998</v>
      </c>
      <c r="G1206" s="493">
        <f t="shared" si="491"/>
        <v>0</v>
      </c>
      <c r="H1206" s="493">
        <f t="shared" si="491"/>
        <v>0</v>
      </c>
      <c r="I1206" s="493">
        <f t="shared" si="491"/>
        <v>0</v>
      </c>
      <c r="J1206" s="493">
        <f t="shared" si="491"/>
        <v>0</v>
      </c>
      <c r="K1206" s="52">
        <f t="shared" si="477"/>
        <v>3.2616999999999998</v>
      </c>
      <c r="L1206" s="555"/>
      <c r="M1206" s="258"/>
      <c r="N1206" s="537"/>
      <c r="O1206" s="671"/>
    </row>
    <row r="1207" spans="1:15" s="65" customFormat="1" x14ac:dyDescent="0.2">
      <c r="A1207" s="668"/>
      <c r="B1207" s="650"/>
      <c r="C1207" s="639"/>
      <c r="D1207" s="485">
        <v>2025</v>
      </c>
      <c r="E1207" s="493">
        <f t="shared" si="492"/>
        <v>3.3921999999999999</v>
      </c>
      <c r="F1207" s="493">
        <f>F1221</f>
        <v>3.3921999999999999</v>
      </c>
      <c r="G1207" s="493">
        <f t="shared" si="491"/>
        <v>0</v>
      </c>
      <c r="H1207" s="493">
        <f t="shared" si="491"/>
        <v>0</v>
      </c>
      <c r="I1207" s="493">
        <f t="shared" si="491"/>
        <v>0</v>
      </c>
      <c r="J1207" s="493">
        <f t="shared" si="491"/>
        <v>0</v>
      </c>
      <c r="K1207" s="52">
        <f t="shared" si="477"/>
        <v>3.3921999999999999</v>
      </c>
      <c r="L1207" s="555"/>
      <c r="M1207" s="258"/>
      <c r="N1207" s="537"/>
      <c r="O1207" s="671"/>
    </row>
    <row r="1208" spans="1:15" s="65" customFormat="1" x14ac:dyDescent="0.2">
      <c r="A1208" s="668"/>
      <c r="B1208" s="650"/>
      <c r="C1208" s="639"/>
      <c r="D1208" s="485">
        <v>2026</v>
      </c>
      <c r="E1208" s="493">
        <f t="shared" si="492"/>
        <v>3.5278879999999999</v>
      </c>
      <c r="F1208" s="493">
        <f t="shared" si="493"/>
        <v>3.5278879999999999</v>
      </c>
      <c r="G1208" s="493">
        <f t="shared" si="491"/>
        <v>0</v>
      </c>
      <c r="H1208" s="493">
        <f t="shared" si="491"/>
        <v>0</v>
      </c>
      <c r="I1208" s="493">
        <f t="shared" si="491"/>
        <v>0</v>
      </c>
      <c r="J1208" s="493">
        <f t="shared" si="491"/>
        <v>0</v>
      </c>
      <c r="K1208" s="52">
        <f t="shared" si="477"/>
        <v>3.5278879999999999</v>
      </c>
      <c r="L1208" s="555"/>
      <c r="M1208" s="258"/>
      <c r="N1208" s="537"/>
      <c r="O1208" s="671"/>
    </row>
    <row r="1209" spans="1:15" s="65" customFormat="1" x14ac:dyDescent="0.2">
      <c r="A1209" s="668"/>
      <c r="B1209" s="650"/>
      <c r="C1209" s="639"/>
      <c r="D1209" s="485">
        <v>2027</v>
      </c>
      <c r="E1209" s="493">
        <f t="shared" si="492"/>
        <v>3.66900352</v>
      </c>
      <c r="F1209" s="493">
        <f t="shared" si="493"/>
        <v>3.66900352</v>
      </c>
      <c r="G1209" s="493">
        <f t="shared" si="491"/>
        <v>0</v>
      </c>
      <c r="H1209" s="493">
        <f t="shared" si="491"/>
        <v>0</v>
      </c>
      <c r="I1209" s="493">
        <f t="shared" si="491"/>
        <v>0</v>
      </c>
      <c r="J1209" s="493">
        <f t="shared" si="491"/>
        <v>0</v>
      </c>
      <c r="K1209" s="52">
        <f t="shared" si="477"/>
        <v>3.66900352</v>
      </c>
      <c r="L1209" s="555"/>
      <c r="M1209" s="258"/>
      <c r="N1209" s="537"/>
      <c r="O1209" s="671"/>
    </row>
    <row r="1210" spans="1:15" s="65" customFormat="1" x14ac:dyDescent="0.2">
      <c r="A1210" s="668"/>
      <c r="B1210" s="650"/>
      <c r="C1210" s="639"/>
      <c r="D1210" s="485">
        <v>2028</v>
      </c>
      <c r="E1210" s="493">
        <f t="shared" si="492"/>
        <v>3.8157636608000001</v>
      </c>
      <c r="F1210" s="493">
        <f t="shared" si="493"/>
        <v>3.8157636608000001</v>
      </c>
      <c r="G1210" s="493">
        <f t="shared" si="491"/>
        <v>0</v>
      </c>
      <c r="H1210" s="493">
        <f t="shared" si="491"/>
        <v>0</v>
      </c>
      <c r="I1210" s="493">
        <f t="shared" si="491"/>
        <v>0</v>
      </c>
      <c r="J1210" s="493">
        <f t="shared" si="491"/>
        <v>0</v>
      </c>
      <c r="K1210" s="52">
        <f t="shared" si="477"/>
        <v>3.8157636608000001</v>
      </c>
      <c r="L1210" s="555"/>
      <c r="M1210" s="258"/>
      <c r="N1210" s="537"/>
      <c r="O1210" s="671"/>
    </row>
    <row r="1211" spans="1:15" s="65" customFormat="1" x14ac:dyDescent="0.2">
      <c r="A1211" s="668"/>
      <c r="B1211" s="650"/>
      <c r="C1211" s="639"/>
      <c r="D1211" s="485">
        <v>2029</v>
      </c>
      <c r="E1211" s="493">
        <f t="shared" si="492"/>
        <v>3.9683942072320004</v>
      </c>
      <c r="F1211" s="493">
        <f t="shared" si="493"/>
        <v>3.9683942072320004</v>
      </c>
      <c r="G1211" s="493">
        <f t="shared" si="491"/>
        <v>0</v>
      </c>
      <c r="H1211" s="493">
        <f t="shared" si="491"/>
        <v>0</v>
      </c>
      <c r="I1211" s="493">
        <f t="shared" si="491"/>
        <v>0</v>
      </c>
      <c r="J1211" s="493">
        <f t="shared" si="491"/>
        <v>0</v>
      </c>
      <c r="K1211" s="52">
        <f t="shared" si="477"/>
        <v>3.9683942072320004</v>
      </c>
      <c r="L1211" s="555"/>
      <c r="M1211" s="258"/>
      <c r="N1211" s="537"/>
      <c r="O1211" s="671"/>
    </row>
    <row r="1212" spans="1:15" s="65" customFormat="1" x14ac:dyDescent="0.2">
      <c r="A1212" s="669"/>
      <c r="B1212" s="651"/>
      <c r="C1212" s="639"/>
      <c r="D1212" s="485">
        <v>2030</v>
      </c>
      <c r="E1212" s="493">
        <f t="shared" si="492"/>
        <v>4.1271299755212807</v>
      </c>
      <c r="F1212" s="493">
        <f t="shared" si="493"/>
        <v>4.1271299755212807</v>
      </c>
      <c r="G1212" s="493">
        <f t="shared" si="491"/>
        <v>0</v>
      </c>
      <c r="H1212" s="493">
        <f t="shared" si="491"/>
        <v>0</v>
      </c>
      <c r="I1212" s="493">
        <f t="shared" si="491"/>
        <v>0</v>
      </c>
      <c r="J1212" s="493">
        <f t="shared" si="491"/>
        <v>0</v>
      </c>
      <c r="K1212" s="52">
        <f t="shared" si="477"/>
        <v>4.1271299755212807</v>
      </c>
      <c r="L1212" s="555"/>
      <c r="M1212" s="258"/>
      <c r="N1212" s="537"/>
      <c r="O1212" s="671"/>
    </row>
    <row r="1213" spans="1:15" s="65" customFormat="1" x14ac:dyDescent="0.2">
      <c r="A1213" s="673" t="s">
        <v>954</v>
      </c>
      <c r="B1213" s="631" t="s">
        <v>948</v>
      </c>
      <c r="C1213" s="639"/>
      <c r="D1213" s="544" t="s">
        <v>198</v>
      </c>
      <c r="E1213" s="474">
        <f>E1214</f>
        <v>4.62</v>
      </c>
      <c r="F1213" s="474">
        <f>F1214</f>
        <v>4.62</v>
      </c>
      <c r="G1213" s="474">
        <f t="shared" ref="G1213:J1213" si="494">G1214</f>
        <v>0</v>
      </c>
      <c r="H1213" s="474">
        <f t="shared" si="494"/>
        <v>0</v>
      </c>
      <c r="I1213" s="474">
        <f t="shared" si="494"/>
        <v>0</v>
      </c>
      <c r="J1213" s="474">
        <f t="shared" si="494"/>
        <v>0</v>
      </c>
      <c r="K1213" s="52">
        <f t="shared" ref="K1213:K1228" si="495">F1213+G1213+H1213+I1213+J1213</f>
        <v>4.62</v>
      </c>
      <c r="L1213" s="555"/>
      <c r="M1213" s="258"/>
      <c r="N1213" s="537"/>
      <c r="O1213" s="671"/>
    </row>
    <row r="1214" spans="1:15" s="65" customFormat="1" ht="20.25" customHeight="1" x14ac:dyDescent="0.2">
      <c r="A1214" s="674"/>
      <c r="B1214" s="632"/>
      <c r="C1214" s="639"/>
      <c r="D1214" s="470">
        <v>2020</v>
      </c>
      <c r="E1214" s="567">
        <f t="shared" ref="E1214" si="496">F1214+G1214+H1214+I1214+J1214</f>
        <v>4.62</v>
      </c>
      <c r="F1214" s="567">
        <v>4.62</v>
      </c>
      <c r="G1214" s="567">
        <v>0</v>
      </c>
      <c r="H1214" s="567">
        <v>0</v>
      </c>
      <c r="I1214" s="567">
        <v>0</v>
      </c>
      <c r="J1214" s="567">
        <v>0</v>
      </c>
      <c r="K1214" s="52">
        <f t="shared" si="495"/>
        <v>4.62</v>
      </c>
      <c r="L1214" s="61"/>
      <c r="M1214" s="54"/>
      <c r="N1214" s="64"/>
      <c r="O1214" s="671"/>
    </row>
    <row r="1215" spans="1:15" s="65" customFormat="1" x14ac:dyDescent="0.2">
      <c r="A1215" s="675" t="s">
        <v>955</v>
      </c>
      <c r="B1215" s="631" t="s">
        <v>950</v>
      </c>
      <c r="C1215" s="639"/>
      <c r="D1215" s="544" t="s">
        <v>513</v>
      </c>
      <c r="E1215" s="47">
        <f>E1216+E1217+E1218+E1219+E1220+E1221+E1222+E1223+E1224+E1225+E1226</f>
        <v>37.593379363553282</v>
      </c>
      <c r="F1215" s="47">
        <f>F1216+F1217+F1218+F1219+F1220+F1221+F1222+F1223+F1224+F1225+F1226</f>
        <v>37.593379363553282</v>
      </c>
      <c r="G1215" s="47">
        <f t="shared" ref="G1215:J1215" si="497">G1216+G1217+G1218+G1219+G1220+G1221+G1222+G1223+G1224+G1225+G1226</f>
        <v>0</v>
      </c>
      <c r="H1215" s="47">
        <f t="shared" si="497"/>
        <v>0</v>
      </c>
      <c r="I1215" s="47">
        <f t="shared" si="497"/>
        <v>0</v>
      </c>
      <c r="J1215" s="47">
        <f t="shared" si="497"/>
        <v>0</v>
      </c>
      <c r="K1215" s="52">
        <f t="shared" si="495"/>
        <v>37.593379363553282</v>
      </c>
      <c r="L1215" s="61"/>
      <c r="M1215" s="54"/>
      <c r="N1215" s="64"/>
      <c r="O1215" s="671"/>
    </row>
    <row r="1216" spans="1:15" s="288" customFormat="1" x14ac:dyDescent="0.2">
      <c r="A1216" s="676"/>
      <c r="B1216" s="648"/>
      <c r="C1216" s="639"/>
      <c r="D1216" s="470">
        <v>2020</v>
      </c>
      <c r="E1216" s="567">
        <v>2.7854000000000001</v>
      </c>
      <c r="F1216" s="567">
        <v>2.7854000000000001</v>
      </c>
      <c r="G1216" s="567">
        <v>0</v>
      </c>
      <c r="H1216" s="567">
        <v>0</v>
      </c>
      <c r="I1216" s="567">
        <v>0</v>
      </c>
      <c r="J1216" s="567">
        <v>0</v>
      </c>
      <c r="K1216" s="52">
        <f t="shared" si="495"/>
        <v>2.7854000000000001</v>
      </c>
      <c r="L1216" s="286"/>
      <c r="M1216" s="287"/>
      <c r="N1216" s="287"/>
      <c r="O1216" s="671"/>
    </row>
    <row r="1217" spans="1:15" s="288" customFormat="1" x14ac:dyDescent="0.2">
      <c r="A1217" s="676"/>
      <c r="B1217" s="648"/>
      <c r="C1217" s="639"/>
      <c r="D1217" s="470">
        <v>2021</v>
      </c>
      <c r="E1217" s="567">
        <f>F1217</f>
        <v>2.8969</v>
      </c>
      <c r="F1217" s="567">
        <v>2.8969</v>
      </c>
      <c r="G1217" s="567">
        <v>0</v>
      </c>
      <c r="H1217" s="567">
        <v>0</v>
      </c>
      <c r="I1217" s="567">
        <v>0</v>
      </c>
      <c r="J1217" s="567">
        <v>0</v>
      </c>
      <c r="K1217" s="52">
        <f t="shared" si="495"/>
        <v>2.8969</v>
      </c>
      <c r="L1217" s="286"/>
      <c r="M1217" s="287"/>
      <c r="N1217" s="287"/>
      <c r="O1217" s="671"/>
    </row>
    <row r="1218" spans="1:15" s="288" customFormat="1" x14ac:dyDescent="0.2">
      <c r="A1218" s="676"/>
      <c r="B1218" s="648"/>
      <c r="C1218" s="639"/>
      <c r="D1218" s="470">
        <v>2022</v>
      </c>
      <c r="E1218" s="567">
        <f t="shared" ref="E1218:E1226" si="498">F1218</f>
        <v>3.0127000000000002</v>
      </c>
      <c r="F1218" s="567">
        <v>3.0127000000000002</v>
      </c>
      <c r="G1218" s="567">
        <v>0</v>
      </c>
      <c r="H1218" s="567">
        <v>0</v>
      </c>
      <c r="I1218" s="567">
        <v>0</v>
      </c>
      <c r="J1218" s="567">
        <v>0</v>
      </c>
      <c r="K1218" s="52">
        <f t="shared" si="495"/>
        <v>3.0127000000000002</v>
      </c>
      <c r="L1218" s="286"/>
      <c r="M1218" s="287"/>
      <c r="N1218" s="287"/>
      <c r="O1218" s="671"/>
    </row>
    <row r="1219" spans="1:15" s="288" customFormat="1" x14ac:dyDescent="0.2">
      <c r="A1219" s="676"/>
      <c r="B1219" s="648"/>
      <c r="C1219" s="639"/>
      <c r="D1219" s="470">
        <v>2023</v>
      </c>
      <c r="E1219" s="567">
        <f t="shared" si="498"/>
        <v>3.1362999999999999</v>
      </c>
      <c r="F1219" s="498">
        <v>3.1362999999999999</v>
      </c>
      <c r="G1219" s="567">
        <v>0</v>
      </c>
      <c r="H1219" s="567">
        <v>0</v>
      </c>
      <c r="I1219" s="567">
        <v>0</v>
      </c>
      <c r="J1219" s="567">
        <v>0</v>
      </c>
      <c r="K1219" s="52">
        <f t="shared" si="495"/>
        <v>3.1362999999999999</v>
      </c>
      <c r="L1219" s="286"/>
      <c r="M1219" s="287"/>
      <c r="N1219" s="287"/>
      <c r="O1219" s="671"/>
    </row>
    <row r="1220" spans="1:15" s="288" customFormat="1" x14ac:dyDescent="0.2">
      <c r="A1220" s="676"/>
      <c r="B1220" s="648"/>
      <c r="C1220" s="639"/>
      <c r="D1220" s="470">
        <v>2024</v>
      </c>
      <c r="E1220" s="567">
        <f t="shared" si="498"/>
        <v>3.2616999999999998</v>
      </c>
      <c r="F1220" s="567">
        <v>3.2616999999999998</v>
      </c>
      <c r="G1220" s="567">
        <v>0</v>
      </c>
      <c r="H1220" s="567">
        <v>0</v>
      </c>
      <c r="I1220" s="567">
        <v>0</v>
      </c>
      <c r="J1220" s="567">
        <v>0</v>
      </c>
      <c r="K1220" s="52">
        <f t="shared" si="495"/>
        <v>3.2616999999999998</v>
      </c>
      <c r="L1220" s="286"/>
      <c r="M1220" s="287"/>
      <c r="N1220" s="287"/>
      <c r="O1220" s="671"/>
    </row>
    <row r="1221" spans="1:15" s="288" customFormat="1" x14ac:dyDescent="0.2">
      <c r="A1221" s="676"/>
      <c r="B1221" s="648"/>
      <c r="C1221" s="640"/>
      <c r="D1221" s="470">
        <v>2025</v>
      </c>
      <c r="E1221" s="567">
        <f t="shared" si="498"/>
        <v>3.3921999999999999</v>
      </c>
      <c r="F1221" s="567">
        <v>3.3921999999999999</v>
      </c>
      <c r="G1221" s="567">
        <v>0</v>
      </c>
      <c r="H1221" s="567">
        <v>0</v>
      </c>
      <c r="I1221" s="567">
        <v>0</v>
      </c>
      <c r="J1221" s="567">
        <v>0</v>
      </c>
      <c r="K1221" s="52">
        <f t="shared" si="495"/>
        <v>3.3921999999999999</v>
      </c>
      <c r="L1221" s="286"/>
      <c r="M1221" s="287"/>
      <c r="N1221" s="287"/>
      <c r="O1221" s="671"/>
    </row>
    <row r="1222" spans="1:15" s="288" customFormat="1" x14ac:dyDescent="0.2">
      <c r="A1222" s="676"/>
      <c r="B1222" s="503"/>
      <c r="C1222" s="678" t="s">
        <v>951</v>
      </c>
      <c r="D1222" s="470">
        <v>2026</v>
      </c>
      <c r="E1222" s="567">
        <f t="shared" si="498"/>
        <v>3.5278879999999999</v>
      </c>
      <c r="F1222" s="567">
        <f>F1221*1.04</f>
        <v>3.5278879999999999</v>
      </c>
      <c r="G1222" s="567">
        <v>0</v>
      </c>
      <c r="H1222" s="567">
        <v>0</v>
      </c>
      <c r="I1222" s="567">
        <v>0</v>
      </c>
      <c r="J1222" s="567">
        <v>0</v>
      </c>
      <c r="K1222" s="52">
        <f t="shared" si="495"/>
        <v>3.5278879999999999</v>
      </c>
      <c r="L1222" s="286"/>
      <c r="M1222" s="287"/>
      <c r="N1222" s="287"/>
      <c r="O1222" s="671"/>
    </row>
    <row r="1223" spans="1:15" s="288" customFormat="1" x14ac:dyDescent="0.2">
      <c r="A1223" s="676"/>
      <c r="B1223" s="503"/>
      <c r="C1223" s="678"/>
      <c r="D1223" s="470">
        <v>2027</v>
      </c>
      <c r="E1223" s="567">
        <f t="shared" si="498"/>
        <v>3.66900352</v>
      </c>
      <c r="F1223" s="567">
        <f>F1222*1.04</f>
        <v>3.66900352</v>
      </c>
      <c r="G1223" s="567">
        <v>0</v>
      </c>
      <c r="H1223" s="567">
        <v>0</v>
      </c>
      <c r="I1223" s="567">
        <v>0</v>
      </c>
      <c r="J1223" s="567">
        <v>0</v>
      </c>
      <c r="K1223" s="52">
        <f t="shared" si="495"/>
        <v>3.66900352</v>
      </c>
      <c r="L1223" s="286"/>
      <c r="M1223" s="287"/>
      <c r="N1223" s="287"/>
      <c r="O1223" s="671"/>
    </row>
    <row r="1224" spans="1:15" s="288" customFormat="1" x14ac:dyDescent="0.2">
      <c r="A1224" s="676"/>
      <c r="B1224" s="503"/>
      <c r="C1224" s="678"/>
      <c r="D1224" s="470">
        <v>2028</v>
      </c>
      <c r="E1224" s="567">
        <f t="shared" si="498"/>
        <v>3.8157636608000001</v>
      </c>
      <c r="F1224" s="567">
        <f>F1223*1.04</f>
        <v>3.8157636608000001</v>
      </c>
      <c r="G1224" s="567">
        <v>0</v>
      </c>
      <c r="H1224" s="567">
        <v>0</v>
      </c>
      <c r="I1224" s="567">
        <v>0</v>
      </c>
      <c r="J1224" s="567">
        <v>0</v>
      </c>
      <c r="K1224" s="52">
        <f t="shared" si="495"/>
        <v>3.8157636608000001</v>
      </c>
      <c r="L1224" s="286"/>
      <c r="M1224" s="287"/>
      <c r="N1224" s="287"/>
      <c r="O1224" s="671"/>
    </row>
    <row r="1225" spans="1:15" s="288" customFormat="1" x14ac:dyDescent="0.2">
      <c r="A1225" s="676"/>
      <c r="B1225" s="503"/>
      <c r="C1225" s="678"/>
      <c r="D1225" s="470">
        <v>2029</v>
      </c>
      <c r="E1225" s="567">
        <f t="shared" si="498"/>
        <v>3.9683942072320004</v>
      </c>
      <c r="F1225" s="567">
        <f>F1224*1.04</f>
        <v>3.9683942072320004</v>
      </c>
      <c r="G1225" s="567">
        <v>0</v>
      </c>
      <c r="H1225" s="567">
        <v>0</v>
      </c>
      <c r="I1225" s="567">
        <v>0</v>
      </c>
      <c r="J1225" s="567">
        <v>0</v>
      </c>
      <c r="K1225" s="52">
        <f t="shared" si="495"/>
        <v>3.9683942072320004</v>
      </c>
      <c r="L1225" s="286"/>
      <c r="M1225" s="287"/>
      <c r="N1225" s="287"/>
      <c r="O1225" s="671"/>
    </row>
    <row r="1226" spans="1:15" s="288" customFormat="1" x14ac:dyDescent="0.2">
      <c r="A1226" s="677"/>
      <c r="B1226" s="514"/>
      <c r="C1226" s="678"/>
      <c r="D1226" s="470">
        <v>2030</v>
      </c>
      <c r="E1226" s="567">
        <f t="shared" si="498"/>
        <v>4.1271299755212807</v>
      </c>
      <c r="F1226" s="567">
        <f>F1225*1.04</f>
        <v>4.1271299755212807</v>
      </c>
      <c r="G1226" s="567">
        <v>0</v>
      </c>
      <c r="H1226" s="567">
        <v>0</v>
      </c>
      <c r="I1226" s="567">
        <v>0</v>
      </c>
      <c r="J1226" s="567">
        <v>0</v>
      </c>
      <c r="K1226" s="52">
        <f t="shared" si="495"/>
        <v>4.1271299755212807</v>
      </c>
      <c r="L1226" s="286"/>
      <c r="M1226" s="287"/>
      <c r="N1226" s="287"/>
      <c r="O1226" s="672"/>
    </row>
    <row r="1227" spans="1:15" s="288" customFormat="1" ht="25.5" customHeight="1" x14ac:dyDescent="0.2">
      <c r="A1227" s="680" t="s">
        <v>1061</v>
      </c>
      <c r="B1227" s="960" t="s">
        <v>1062</v>
      </c>
      <c r="C1227" s="681" t="s">
        <v>949</v>
      </c>
      <c r="D1227" s="46" t="s">
        <v>513</v>
      </c>
      <c r="E1227" s="567">
        <f>E1228</f>
        <v>8.2959999999999996E-3</v>
      </c>
      <c r="F1227" s="567">
        <f t="shared" ref="F1227:J1227" si="499">F1228</f>
        <v>8.2959999999999996E-3</v>
      </c>
      <c r="G1227" s="567">
        <f t="shared" si="499"/>
        <v>0</v>
      </c>
      <c r="H1227" s="567">
        <f t="shared" si="499"/>
        <v>0</v>
      </c>
      <c r="I1227" s="567">
        <f t="shared" si="499"/>
        <v>0</v>
      </c>
      <c r="J1227" s="567">
        <f t="shared" si="499"/>
        <v>0</v>
      </c>
      <c r="K1227" s="52">
        <f t="shared" si="495"/>
        <v>8.2959999999999996E-3</v>
      </c>
      <c r="L1227" s="286"/>
      <c r="M1227" s="287"/>
      <c r="N1227" s="287"/>
      <c r="O1227" s="470"/>
    </row>
    <row r="1228" spans="1:15" s="288" customFormat="1" x14ac:dyDescent="0.2">
      <c r="A1228" s="680"/>
      <c r="B1228" s="960"/>
      <c r="C1228" s="681"/>
      <c r="D1228" s="470">
        <v>2020</v>
      </c>
      <c r="E1228" s="567">
        <f>F1228</f>
        <v>8.2959999999999996E-3</v>
      </c>
      <c r="F1228" s="567">
        <v>8.2959999999999996E-3</v>
      </c>
      <c r="G1228" s="567">
        <v>0</v>
      </c>
      <c r="H1228" s="567">
        <v>0</v>
      </c>
      <c r="I1228" s="567">
        <v>0</v>
      </c>
      <c r="J1228" s="567">
        <v>0</v>
      </c>
      <c r="K1228" s="52">
        <f t="shared" si="495"/>
        <v>8.2959999999999996E-3</v>
      </c>
      <c r="L1228" s="286"/>
      <c r="M1228" s="287"/>
      <c r="N1228" s="287"/>
      <c r="O1228" s="470"/>
    </row>
    <row r="1229" spans="1:15" s="288" customFormat="1" ht="42" customHeight="1" x14ac:dyDescent="0.25">
      <c r="B1229" s="110" t="s">
        <v>1099</v>
      </c>
      <c r="C1229" s="110"/>
      <c r="I1229" s="666" t="s">
        <v>1100</v>
      </c>
      <c r="J1229" s="666"/>
      <c r="K1229" s="110"/>
      <c r="L1229" s="290"/>
    </row>
    <row r="1230" spans="1:15" s="288" customFormat="1" ht="15.75" x14ac:dyDescent="0.25">
      <c r="B1230" s="110"/>
      <c r="C1230" s="110"/>
      <c r="J1230" s="110"/>
      <c r="K1230" s="110"/>
      <c r="L1230" s="290"/>
    </row>
    <row r="1231" spans="1:15" s="288" customFormat="1" ht="15.75" x14ac:dyDescent="0.25">
      <c r="B1231" s="110"/>
      <c r="C1231" s="110"/>
      <c r="J1231" s="110"/>
      <c r="K1231" s="110"/>
      <c r="L1231" s="290"/>
    </row>
    <row r="1232" spans="1:15" s="288" customFormat="1" ht="24" customHeight="1" x14ac:dyDescent="0.25">
      <c r="B1232" s="110"/>
      <c r="C1232" s="110"/>
      <c r="J1232" s="110"/>
      <c r="K1232" s="110"/>
      <c r="L1232" s="290"/>
    </row>
    <row r="1233" spans="1:12" s="288" customFormat="1" ht="15.75" x14ac:dyDescent="0.25">
      <c r="B1233" s="110"/>
      <c r="C1233" s="110"/>
      <c r="J1233" s="110"/>
      <c r="K1233" s="110"/>
      <c r="L1233" s="290"/>
    </row>
    <row r="1234" spans="1:12" s="288" customFormat="1" ht="15.75" x14ac:dyDescent="0.25">
      <c r="B1234" s="110"/>
      <c r="C1234" s="110"/>
      <c r="J1234" s="110"/>
      <c r="K1234" s="110"/>
      <c r="L1234" s="290"/>
    </row>
    <row r="1235" spans="1:12" s="288" customFormat="1" ht="15.75" x14ac:dyDescent="0.25">
      <c r="B1235" s="110"/>
      <c r="C1235" s="110"/>
      <c r="J1235" s="110"/>
      <c r="K1235" s="110"/>
      <c r="L1235" s="290"/>
    </row>
    <row r="1236" spans="1:12" s="288" customFormat="1" ht="15.75" x14ac:dyDescent="0.25">
      <c r="B1236" s="110"/>
      <c r="C1236" s="110"/>
      <c r="J1236" s="110"/>
      <c r="K1236" s="110"/>
      <c r="L1236" s="290"/>
    </row>
    <row r="1237" spans="1:12" s="288" customFormat="1" ht="31.5" customHeight="1" x14ac:dyDescent="0.25">
      <c r="B1237" s="110"/>
      <c r="C1237" s="110"/>
      <c r="J1237" s="110"/>
      <c r="K1237" s="110"/>
      <c r="L1237" s="290"/>
    </row>
    <row r="1238" spans="1:12" s="288" customFormat="1" ht="49.5" customHeight="1" x14ac:dyDescent="0.25">
      <c r="A1238" s="110"/>
      <c r="B1238" s="110"/>
      <c r="C1238" s="110"/>
      <c r="J1238" s="110"/>
      <c r="K1238" s="110"/>
      <c r="L1238" s="290"/>
    </row>
    <row r="1239" spans="1:12" s="288" customFormat="1" x14ac:dyDescent="0.2">
      <c r="A1239" s="291"/>
      <c r="L1239" s="290"/>
    </row>
    <row r="1240" spans="1:12" s="288" customFormat="1" x14ac:dyDescent="0.2">
      <c r="A1240" s="291"/>
      <c r="L1240" s="290"/>
    </row>
    <row r="1241" spans="1:12" s="288" customFormat="1" x14ac:dyDescent="0.2">
      <c r="A1241" s="291"/>
      <c r="L1241" s="290"/>
    </row>
    <row r="1242" spans="1:12" s="288" customFormat="1" x14ac:dyDescent="0.2">
      <c r="A1242" s="291"/>
      <c r="L1242" s="290"/>
    </row>
    <row r="1243" spans="1:12" s="288" customFormat="1" x14ac:dyDescent="0.2">
      <c r="A1243" s="291"/>
      <c r="L1243" s="290"/>
    </row>
    <row r="1244" spans="1:12" s="288" customFormat="1" x14ac:dyDescent="0.2">
      <c r="A1244" s="291"/>
      <c r="L1244" s="290"/>
    </row>
    <row r="1245" spans="1:12" s="288" customFormat="1" x14ac:dyDescent="0.2">
      <c r="A1245" s="291"/>
      <c r="L1245" s="290"/>
    </row>
    <row r="1246" spans="1:12" s="288" customFormat="1" x14ac:dyDescent="0.2">
      <c r="A1246" s="291"/>
      <c r="L1246" s="290"/>
    </row>
    <row r="1247" spans="1:12" s="288" customFormat="1" x14ac:dyDescent="0.2">
      <c r="A1247" s="291"/>
      <c r="L1247" s="290"/>
    </row>
    <row r="1248" spans="1:12" s="288" customFormat="1" x14ac:dyDescent="0.2">
      <c r="A1248" s="291"/>
      <c r="L1248" s="290"/>
    </row>
    <row r="1249" spans="1:12" s="288" customFormat="1" x14ac:dyDescent="0.2">
      <c r="A1249" s="291"/>
      <c r="L1249" s="290"/>
    </row>
    <row r="1250" spans="1:12" s="288" customFormat="1" x14ac:dyDescent="0.2">
      <c r="A1250" s="291"/>
      <c r="L1250" s="290"/>
    </row>
    <row r="1251" spans="1:12" s="288" customFormat="1" x14ac:dyDescent="0.2">
      <c r="A1251" s="291"/>
      <c r="L1251" s="290"/>
    </row>
    <row r="1252" spans="1:12" s="288" customFormat="1" x14ac:dyDescent="0.2">
      <c r="A1252" s="291"/>
      <c r="L1252" s="290"/>
    </row>
    <row r="1253" spans="1:12" s="288" customFormat="1" x14ac:dyDescent="0.2">
      <c r="A1253" s="291"/>
      <c r="L1253" s="290"/>
    </row>
    <row r="1254" spans="1:12" s="288" customFormat="1" x14ac:dyDescent="0.2">
      <c r="A1254" s="291"/>
      <c r="L1254" s="290"/>
    </row>
    <row r="1255" spans="1:12" s="288" customFormat="1" x14ac:dyDescent="0.2">
      <c r="A1255" s="291"/>
      <c r="L1255" s="290"/>
    </row>
    <row r="1256" spans="1:12" s="288" customFormat="1" x14ac:dyDescent="0.2">
      <c r="A1256" s="291"/>
      <c r="L1256" s="290"/>
    </row>
    <row r="1257" spans="1:12" s="288" customFormat="1" x14ac:dyDescent="0.2">
      <c r="A1257" s="291"/>
      <c r="L1257" s="290"/>
    </row>
    <row r="1258" spans="1:12" s="288" customFormat="1" x14ac:dyDescent="0.2">
      <c r="A1258" s="291"/>
      <c r="L1258" s="290"/>
    </row>
    <row r="1259" spans="1:12" s="288" customFormat="1" x14ac:dyDescent="0.2">
      <c r="A1259" s="291"/>
      <c r="L1259" s="290"/>
    </row>
    <row r="1260" spans="1:12" s="288" customFormat="1" x14ac:dyDescent="0.2">
      <c r="A1260" s="291"/>
      <c r="L1260" s="290"/>
    </row>
    <row r="1261" spans="1:12" s="288" customFormat="1" x14ac:dyDescent="0.2">
      <c r="A1261" s="291"/>
      <c r="L1261" s="290"/>
    </row>
    <row r="1262" spans="1:12" s="288" customFormat="1" x14ac:dyDescent="0.2">
      <c r="A1262" s="291"/>
      <c r="L1262" s="290"/>
    </row>
    <row r="1263" spans="1:12" s="288" customFormat="1" x14ac:dyDescent="0.2">
      <c r="A1263" s="291"/>
      <c r="L1263" s="290"/>
    </row>
    <row r="1264" spans="1:12" s="288" customFormat="1" x14ac:dyDescent="0.2">
      <c r="A1264" s="291"/>
      <c r="L1264" s="290"/>
    </row>
    <row r="1265" spans="1:12" s="288" customFormat="1" x14ac:dyDescent="0.2">
      <c r="A1265" s="291"/>
      <c r="L1265" s="290"/>
    </row>
    <row r="1266" spans="1:12" s="288" customFormat="1" x14ac:dyDescent="0.2">
      <c r="A1266" s="291"/>
      <c r="L1266" s="290"/>
    </row>
    <row r="1267" spans="1:12" s="288" customFormat="1" x14ac:dyDescent="0.2">
      <c r="A1267" s="291"/>
      <c r="L1267" s="290"/>
    </row>
    <row r="1268" spans="1:12" s="288" customFormat="1" x14ac:dyDescent="0.2">
      <c r="A1268" s="291"/>
      <c r="L1268" s="290"/>
    </row>
    <row r="1269" spans="1:12" s="288" customFormat="1" x14ac:dyDescent="0.2">
      <c r="A1269" s="291"/>
      <c r="L1269" s="290"/>
    </row>
    <row r="1270" spans="1:12" s="288" customFormat="1" x14ac:dyDescent="0.2">
      <c r="A1270" s="291"/>
      <c r="L1270" s="290"/>
    </row>
    <row r="1271" spans="1:12" s="288" customFormat="1" x14ac:dyDescent="0.2">
      <c r="A1271" s="291"/>
      <c r="L1271" s="290"/>
    </row>
    <row r="1272" spans="1:12" s="288" customFormat="1" x14ac:dyDescent="0.2">
      <c r="A1272" s="291"/>
      <c r="L1272" s="290"/>
    </row>
    <row r="1273" spans="1:12" s="288" customFormat="1" x14ac:dyDescent="0.2">
      <c r="A1273" s="291"/>
      <c r="L1273" s="290"/>
    </row>
    <row r="1274" spans="1:12" s="288" customFormat="1" x14ac:dyDescent="0.2">
      <c r="A1274" s="291"/>
      <c r="L1274" s="290"/>
    </row>
    <row r="1275" spans="1:12" s="288" customFormat="1" x14ac:dyDescent="0.2">
      <c r="A1275" s="291"/>
      <c r="L1275" s="290"/>
    </row>
    <row r="1276" spans="1:12" s="288" customFormat="1" x14ac:dyDescent="0.2">
      <c r="A1276" s="291"/>
      <c r="L1276" s="290"/>
    </row>
    <row r="1277" spans="1:12" s="288" customFormat="1" x14ac:dyDescent="0.2">
      <c r="A1277" s="291"/>
      <c r="L1277" s="290"/>
    </row>
    <row r="1278" spans="1:12" s="288" customFormat="1" x14ac:dyDescent="0.2">
      <c r="A1278" s="291"/>
      <c r="L1278" s="290"/>
    </row>
    <row r="1279" spans="1:12" s="288" customFormat="1" x14ac:dyDescent="0.2">
      <c r="A1279" s="291"/>
      <c r="L1279" s="290"/>
    </row>
    <row r="1280" spans="1:12" s="288" customFormat="1" x14ac:dyDescent="0.2">
      <c r="A1280" s="291"/>
      <c r="L1280" s="290"/>
    </row>
    <row r="1281" spans="1:12" s="288" customFormat="1" x14ac:dyDescent="0.2">
      <c r="A1281" s="291"/>
      <c r="L1281" s="290"/>
    </row>
    <row r="1282" spans="1:12" s="288" customFormat="1" x14ac:dyDescent="0.2">
      <c r="A1282" s="291"/>
      <c r="L1282" s="290"/>
    </row>
    <row r="1283" spans="1:12" s="288" customFormat="1" x14ac:dyDescent="0.2">
      <c r="A1283" s="291"/>
      <c r="L1283" s="290"/>
    </row>
    <row r="1284" spans="1:12" s="288" customFormat="1" x14ac:dyDescent="0.2">
      <c r="A1284" s="291"/>
      <c r="L1284" s="290"/>
    </row>
    <row r="1285" spans="1:12" s="288" customFormat="1" x14ac:dyDescent="0.2">
      <c r="A1285" s="291"/>
      <c r="L1285" s="290"/>
    </row>
    <row r="1286" spans="1:12" s="288" customFormat="1" x14ac:dyDescent="0.2">
      <c r="A1286" s="291"/>
      <c r="L1286" s="290"/>
    </row>
    <row r="1287" spans="1:12" s="288" customFormat="1" x14ac:dyDescent="0.2">
      <c r="A1287" s="291"/>
      <c r="L1287" s="290"/>
    </row>
    <row r="1288" spans="1:12" s="288" customFormat="1" x14ac:dyDescent="0.2">
      <c r="A1288" s="291"/>
      <c r="L1288" s="290"/>
    </row>
    <row r="1289" spans="1:12" s="288" customFormat="1" x14ac:dyDescent="0.2">
      <c r="A1289" s="291"/>
      <c r="L1289" s="290"/>
    </row>
    <row r="1290" spans="1:12" s="288" customFormat="1" x14ac:dyDescent="0.2">
      <c r="A1290" s="291"/>
      <c r="L1290" s="290"/>
    </row>
    <row r="1291" spans="1:12" s="288" customFormat="1" x14ac:dyDescent="0.2">
      <c r="A1291" s="291"/>
      <c r="L1291" s="290"/>
    </row>
    <row r="1292" spans="1:12" s="288" customFormat="1" x14ac:dyDescent="0.2">
      <c r="A1292" s="291"/>
      <c r="L1292" s="290"/>
    </row>
    <row r="1293" spans="1:12" s="288" customFormat="1" x14ac:dyDescent="0.2">
      <c r="A1293" s="291"/>
      <c r="L1293" s="290"/>
    </row>
    <row r="1294" spans="1:12" s="288" customFormat="1" x14ac:dyDescent="0.2">
      <c r="A1294" s="291"/>
      <c r="L1294" s="290"/>
    </row>
    <row r="1295" spans="1:12" s="288" customFormat="1" x14ac:dyDescent="0.2">
      <c r="A1295" s="291"/>
      <c r="L1295" s="290"/>
    </row>
    <row r="1296" spans="1:12" s="288" customFormat="1" x14ac:dyDescent="0.2">
      <c r="A1296" s="291"/>
      <c r="L1296" s="290"/>
    </row>
    <row r="1297" spans="1:12" s="288" customFormat="1" x14ac:dyDescent="0.2">
      <c r="A1297" s="291"/>
      <c r="L1297" s="290"/>
    </row>
    <row r="1298" spans="1:12" s="288" customFormat="1" x14ac:dyDescent="0.2">
      <c r="A1298" s="291"/>
      <c r="L1298" s="290"/>
    </row>
    <row r="1299" spans="1:12" s="288" customFormat="1" x14ac:dyDescent="0.2">
      <c r="A1299" s="291"/>
      <c r="L1299" s="290"/>
    </row>
    <row r="1300" spans="1:12" s="288" customFormat="1" x14ac:dyDescent="0.2">
      <c r="A1300" s="291"/>
      <c r="L1300" s="290"/>
    </row>
    <row r="1301" spans="1:12" s="288" customFormat="1" x14ac:dyDescent="0.2">
      <c r="A1301" s="291"/>
      <c r="L1301" s="290"/>
    </row>
    <row r="1302" spans="1:12" s="288" customFormat="1" x14ac:dyDescent="0.2">
      <c r="A1302" s="291"/>
      <c r="L1302" s="290"/>
    </row>
    <row r="1303" spans="1:12" s="288" customFormat="1" x14ac:dyDescent="0.2">
      <c r="A1303" s="291"/>
      <c r="L1303" s="290"/>
    </row>
    <row r="1304" spans="1:12" s="288" customFormat="1" x14ac:dyDescent="0.2">
      <c r="A1304" s="291"/>
      <c r="L1304" s="290"/>
    </row>
    <row r="1305" spans="1:12" s="288" customFormat="1" x14ac:dyDescent="0.2">
      <c r="A1305" s="291"/>
      <c r="L1305" s="290"/>
    </row>
    <row r="1306" spans="1:12" s="288" customFormat="1" x14ac:dyDescent="0.2">
      <c r="A1306" s="291"/>
      <c r="L1306" s="290"/>
    </row>
    <row r="1307" spans="1:12" s="288" customFormat="1" x14ac:dyDescent="0.2">
      <c r="A1307" s="291"/>
      <c r="L1307" s="290"/>
    </row>
    <row r="1308" spans="1:12" s="288" customFormat="1" x14ac:dyDescent="0.2">
      <c r="A1308" s="291"/>
      <c r="L1308" s="290"/>
    </row>
    <row r="1309" spans="1:12" s="288" customFormat="1" x14ac:dyDescent="0.2">
      <c r="A1309" s="291"/>
      <c r="L1309" s="290"/>
    </row>
    <row r="1310" spans="1:12" s="288" customFormat="1" x14ac:dyDescent="0.2">
      <c r="A1310" s="291"/>
      <c r="L1310" s="290"/>
    </row>
    <row r="1311" spans="1:12" s="288" customFormat="1" x14ac:dyDescent="0.2">
      <c r="A1311" s="291"/>
      <c r="L1311" s="290"/>
    </row>
    <row r="1312" spans="1:12" s="288" customFormat="1" x14ac:dyDescent="0.2">
      <c r="A1312" s="291"/>
      <c r="L1312" s="290"/>
    </row>
    <row r="1313" spans="1:12" s="288" customFormat="1" x14ac:dyDescent="0.2">
      <c r="A1313" s="291"/>
      <c r="L1313" s="290"/>
    </row>
    <row r="1314" spans="1:12" s="288" customFormat="1" x14ac:dyDescent="0.2">
      <c r="A1314" s="291"/>
      <c r="L1314" s="290"/>
    </row>
    <row r="1315" spans="1:12" s="288" customFormat="1" x14ac:dyDescent="0.2">
      <c r="A1315" s="291"/>
      <c r="L1315" s="290"/>
    </row>
    <row r="1316" spans="1:12" s="288" customFormat="1" x14ac:dyDescent="0.2">
      <c r="A1316" s="291"/>
      <c r="L1316" s="290"/>
    </row>
    <row r="1317" spans="1:12" s="288" customFormat="1" x14ac:dyDescent="0.2">
      <c r="A1317" s="291"/>
      <c r="L1317" s="290"/>
    </row>
    <row r="1318" spans="1:12" s="288" customFormat="1" x14ac:dyDescent="0.2">
      <c r="A1318" s="291"/>
      <c r="L1318" s="290"/>
    </row>
    <row r="1319" spans="1:12" s="288" customFormat="1" x14ac:dyDescent="0.2">
      <c r="A1319" s="291"/>
      <c r="L1319" s="290"/>
    </row>
    <row r="1320" spans="1:12" s="288" customFormat="1" x14ac:dyDescent="0.2">
      <c r="A1320" s="291"/>
      <c r="L1320" s="290"/>
    </row>
    <row r="1321" spans="1:12" s="288" customFormat="1" x14ac:dyDescent="0.2">
      <c r="A1321" s="291"/>
      <c r="L1321" s="290"/>
    </row>
    <row r="1322" spans="1:12" s="288" customFormat="1" x14ac:dyDescent="0.2">
      <c r="A1322" s="291"/>
      <c r="L1322" s="290"/>
    </row>
    <row r="1323" spans="1:12" s="288" customFormat="1" x14ac:dyDescent="0.2">
      <c r="A1323" s="291"/>
      <c r="L1323" s="290"/>
    </row>
    <row r="1324" spans="1:12" s="288" customFormat="1" x14ac:dyDescent="0.2">
      <c r="A1324" s="291"/>
      <c r="L1324" s="290"/>
    </row>
    <row r="1325" spans="1:12" s="288" customFormat="1" x14ac:dyDescent="0.2">
      <c r="A1325" s="291"/>
      <c r="L1325" s="290"/>
    </row>
    <row r="1326" spans="1:12" s="288" customFormat="1" x14ac:dyDescent="0.2">
      <c r="A1326" s="291"/>
      <c r="L1326" s="290"/>
    </row>
    <row r="1327" spans="1:12" s="288" customFormat="1" x14ac:dyDescent="0.2">
      <c r="A1327" s="291"/>
      <c r="L1327" s="290"/>
    </row>
    <row r="1328" spans="1:12" s="288" customFormat="1" x14ac:dyDescent="0.2">
      <c r="A1328" s="291"/>
      <c r="L1328" s="290"/>
    </row>
    <row r="1329" spans="1:12" s="288" customFormat="1" x14ac:dyDescent="0.2">
      <c r="A1329" s="291"/>
      <c r="L1329" s="290"/>
    </row>
    <row r="1330" spans="1:12" s="288" customFormat="1" x14ac:dyDescent="0.2">
      <c r="A1330" s="291"/>
      <c r="L1330" s="290"/>
    </row>
    <row r="1331" spans="1:12" s="288" customFormat="1" x14ac:dyDescent="0.2">
      <c r="A1331" s="291"/>
      <c r="L1331" s="290"/>
    </row>
    <row r="1332" spans="1:12" s="288" customFormat="1" x14ac:dyDescent="0.2">
      <c r="A1332" s="291"/>
      <c r="L1332" s="290"/>
    </row>
    <row r="1333" spans="1:12" s="288" customFormat="1" x14ac:dyDescent="0.2">
      <c r="A1333" s="291"/>
      <c r="L1333" s="290"/>
    </row>
    <row r="1334" spans="1:12" s="288" customFormat="1" x14ac:dyDescent="0.2">
      <c r="A1334" s="291"/>
      <c r="L1334" s="290"/>
    </row>
    <row r="1335" spans="1:12" s="288" customFormat="1" x14ac:dyDescent="0.2">
      <c r="A1335" s="291"/>
      <c r="L1335" s="290"/>
    </row>
    <row r="1336" spans="1:12" s="288" customFormat="1" x14ac:dyDescent="0.2">
      <c r="A1336" s="291"/>
      <c r="L1336" s="290"/>
    </row>
    <row r="1337" spans="1:12" s="288" customFormat="1" x14ac:dyDescent="0.2">
      <c r="A1337" s="291"/>
      <c r="L1337" s="290"/>
    </row>
    <row r="1338" spans="1:12" s="288" customFormat="1" x14ac:dyDescent="0.2">
      <c r="A1338" s="291"/>
      <c r="L1338" s="290"/>
    </row>
    <row r="1339" spans="1:12" s="288" customFormat="1" x14ac:dyDescent="0.2">
      <c r="A1339" s="291"/>
      <c r="L1339" s="290"/>
    </row>
    <row r="1340" spans="1:12" s="288" customFormat="1" x14ac:dyDescent="0.2">
      <c r="A1340" s="291"/>
      <c r="L1340" s="290"/>
    </row>
    <row r="1341" spans="1:12" s="288" customFormat="1" x14ac:dyDescent="0.2">
      <c r="A1341" s="291"/>
      <c r="L1341" s="290"/>
    </row>
    <row r="1342" spans="1:12" s="288" customFormat="1" x14ac:dyDescent="0.2">
      <c r="A1342" s="291"/>
      <c r="L1342" s="290"/>
    </row>
    <row r="1343" spans="1:12" s="288" customFormat="1" x14ac:dyDescent="0.2">
      <c r="A1343" s="291"/>
      <c r="L1343" s="290"/>
    </row>
    <row r="1344" spans="1:12" s="288" customFormat="1" x14ac:dyDescent="0.2">
      <c r="A1344" s="291"/>
      <c r="L1344" s="290"/>
    </row>
    <row r="1345" spans="1:12" s="288" customFormat="1" x14ac:dyDescent="0.2">
      <c r="A1345" s="291"/>
      <c r="L1345" s="290"/>
    </row>
    <row r="1346" spans="1:12" s="288" customFormat="1" x14ac:dyDescent="0.2">
      <c r="A1346" s="291"/>
      <c r="L1346" s="290"/>
    </row>
    <row r="1347" spans="1:12" s="288" customFormat="1" x14ac:dyDescent="0.2">
      <c r="A1347" s="291"/>
      <c r="L1347" s="290"/>
    </row>
    <row r="1348" spans="1:12" s="288" customFormat="1" x14ac:dyDescent="0.2">
      <c r="A1348" s="291"/>
      <c r="L1348" s="290"/>
    </row>
    <row r="1349" spans="1:12" s="288" customFormat="1" x14ac:dyDescent="0.2">
      <c r="A1349" s="291"/>
      <c r="L1349" s="290"/>
    </row>
    <row r="1350" spans="1:12" s="288" customFormat="1" x14ac:dyDescent="0.2">
      <c r="A1350" s="291"/>
      <c r="L1350" s="290"/>
    </row>
    <row r="1351" spans="1:12" s="288" customFormat="1" x14ac:dyDescent="0.2">
      <c r="A1351" s="291"/>
      <c r="L1351" s="290"/>
    </row>
    <row r="1352" spans="1:12" s="288" customFormat="1" x14ac:dyDescent="0.2">
      <c r="A1352" s="291"/>
      <c r="L1352" s="290"/>
    </row>
    <row r="1353" spans="1:12" s="288" customFormat="1" x14ac:dyDescent="0.2">
      <c r="A1353" s="291"/>
      <c r="L1353" s="290"/>
    </row>
    <row r="1354" spans="1:12" s="288" customFormat="1" x14ac:dyDescent="0.2">
      <c r="A1354" s="291"/>
      <c r="L1354" s="290"/>
    </row>
    <row r="1355" spans="1:12" s="288" customFormat="1" x14ac:dyDescent="0.2">
      <c r="A1355" s="291"/>
      <c r="L1355" s="290"/>
    </row>
    <row r="1356" spans="1:12" s="288" customFormat="1" x14ac:dyDescent="0.2">
      <c r="A1356" s="291"/>
      <c r="L1356" s="290"/>
    </row>
    <row r="1357" spans="1:12" s="288" customFormat="1" x14ac:dyDescent="0.2">
      <c r="A1357" s="291"/>
      <c r="L1357" s="290"/>
    </row>
    <row r="1358" spans="1:12" s="288" customFormat="1" x14ac:dyDescent="0.2">
      <c r="A1358" s="291"/>
      <c r="L1358" s="290"/>
    </row>
    <row r="1359" spans="1:12" s="288" customFormat="1" x14ac:dyDescent="0.2">
      <c r="A1359" s="291"/>
      <c r="L1359" s="290"/>
    </row>
    <row r="1360" spans="1:12" s="288" customFormat="1" x14ac:dyDescent="0.2">
      <c r="A1360" s="291"/>
      <c r="L1360" s="290"/>
    </row>
    <row r="1361" spans="1:12" s="288" customFormat="1" x14ac:dyDescent="0.2">
      <c r="A1361" s="291"/>
      <c r="L1361" s="290"/>
    </row>
    <row r="1362" spans="1:12" s="288" customFormat="1" x14ac:dyDescent="0.2">
      <c r="A1362" s="291"/>
      <c r="L1362" s="290"/>
    </row>
    <row r="1363" spans="1:12" s="288" customFormat="1" x14ac:dyDescent="0.2">
      <c r="A1363" s="291"/>
      <c r="L1363" s="290"/>
    </row>
    <row r="1364" spans="1:12" s="288" customFormat="1" x14ac:dyDescent="0.2">
      <c r="A1364" s="291"/>
      <c r="L1364" s="290"/>
    </row>
    <row r="1365" spans="1:12" s="288" customFormat="1" x14ac:dyDescent="0.2">
      <c r="A1365" s="291"/>
      <c r="L1365" s="290"/>
    </row>
    <row r="1366" spans="1:12" s="288" customFormat="1" x14ac:dyDescent="0.2">
      <c r="A1366" s="291"/>
      <c r="L1366" s="290"/>
    </row>
    <row r="1367" spans="1:12" s="288" customFormat="1" x14ac:dyDescent="0.2">
      <c r="A1367" s="291"/>
      <c r="L1367" s="290"/>
    </row>
    <row r="1368" spans="1:12" s="288" customFormat="1" x14ac:dyDescent="0.2">
      <c r="A1368" s="291"/>
      <c r="L1368" s="290"/>
    </row>
    <row r="1369" spans="1:12" s="288" customFormat="1" x14ac:dyDescent="0.2">
      <c r="A1369" s="291"/>
      <c r="L1369" s="290"/>
    </row>
    <row r="1370" spans="1:12" s="288" customFormat="1" x14ac:dyDescent="0.2">
      <c r="A1370" s="291"/>
      <c r="L1370" s="290"/>
    </row>
    <row r="1371" spans="1:12" s="288" customFormat="1" x14ac:dyDescent="0.2">
      <c r="A1371" s="291"/>
      <c r="L1371" s="290"/>
    </row>
    <row r="1372" spans="1:12" s="288" customFormat="1" x14ac:dyDescent="0.2">
      <c r="A1372" s="291"/>
      <c r="L1372" s="290"/>
    </row>
    <row r="1373" spans="1:12" s="288" customFormat="1" x14ac:dyDescent="0.2">
      <c r="A1373" s="291"/>
      <c r="L1373" s="290"/>
    </row>
    <row r="1374" spans="1:12" s="288" customFormat="1" x14ac:dyDescent="0.2">
      <c r="A1374" s="291"/>
      <c r="L1374" s="290"/>
    </row>
    <row r="1375" spans="1:12" s="288" customFormat="1" x14ac:dyDescent="0.2">
      <c r="A1375" s="291"/>
      <c r="L1375" s="290"/>
    </row>
    <row r="1376" spans="1:12" s="288" customFormat="1" x14ac:dyDescent="0.2">
      <c r="A1376" s="291"/>
      <c r="L1376" s="290"/>
    </row>
    <row r="1377" spans="1:12" s="288" customFormat="1" x14ac:dyDescent="0.2">
      <c r="A1377" s="291"/>
      <c r="L1377" s="290"/>
    </row>
    <row r="1378" spans="1:12" s="288" customFormat="1" x14ac:dyDescent="0.2">
      <c r="A1378" s="291"/>
      <c r="L1378" s="290"/>
    </row>
    <row r="1379" spans="1:12" s="288" customFormat="1" x14ac:dyDescent="0.2">
      <c r="A1379" s="291"/>
      <c r="L1379" s="290"/>
    </row>
    <row r="1380" spans="1:12" s="288" customFormat="1" x14ac:dyDescent="0.2">
      <c r="A1380" s="291"/>
      <c r="L1380" s="290"/>
    </row>
    <row r="1381" spans="1:12" s="288" customFormat="1" x14ac:dyDescent="0.2">
      <c r="A1381" s="291"/>
      <c r="L1381" s="290"/>
    </row>
    <row r="1382" spans="1:12" s="288" customFormat="1" x14ac:dyDescent="0.2">
      <c r="A1382" s="291"/>
      <c r="L1382" s="290"/>
    </row>
    <row r="1383" spans="1:12" s="288" customFormat="1" x14ac:dyDescent="0.2">
      <c r="A1383" s="291"/>
      <c r="L1383" s="290"/>
    </row>
    <row r="1384" spans="1:12" s="288" customFormat="1" x14ac:dyDescent="0.2">
      <c r="A1384" s="291"/>
      <c r="L1384" s="290"/>
    </row>
    <row r="1385" spans="1:12" s="288" customFormat="1" x14ac:dyDescent="0.2">
      <c r="A1385" s="291"/>
      <c r="L1385" s="290"/>
    </row>
    <row r="1386" spans="1:12" s="288" customFormat="1" x14ac:dyDescent="0.2">
      <c r="A1386" s="291"/>
      <c r="L1386" s="290"/>
    </row>
    <row r="1387" spans="1:12" s="288" customFormat="1" x14ac:dyDescent="0.2">
      <c r="A1387" s="291"/>
      <c r="L1387" s="290"/>
    </row>
    <row r="1388" spans="1:12" s="288" customFormat="1" x14ac:dyDescent="0.2">
      <c r="A1388" s="291"/>
      <c r="L1388" s="290"/>
    </row>
    <row r="1389" spans="1:12" s="288" customFormat="1" x14ac:dyDescent="0.2">
      <c r="A1389" s="291"/>
      <c r="L1389" s="290"/>
    </row>
    <row r="1390" spans="1:12" s="288" customFormat="1" x14ac:dyDescent="0.2">
      <c r="A1390" s="291"/>
      <c r="L1390" s="290"/>
    </row>
    <row r="1391" spans="1:12" s="288" customFormat="1" x14ac:dyDescent="0.2">
      <c r="A1391" s="291"/>
      <c r="L1391" s="290"/>
    </row>
    <row r="1392" spans="1:12" s="288" customFormat="1" x14ac:dyDescent="0.2">
      <c r="A1392" s="291"/>
      <c r="L1392" s="290"/>
    </row>
    <row r="1393" spans="1:12" s="288" customFormat="1" x14ac:dyDescent="0.2">
      <c r="A1393" s="291"/>
      <c r="L1393" s="290"/>
    </row>
    <row r="1394" spans="1:12" s="288" customFormat="1" x14ac:dyDescent="0.2">
      <c r="A1394" s="291"/>
      <c r="L1394" s="290"/>
    </row>
    <row r="1395" spans="1:12" s="288" customFormat="1" x14ac:dyDescent="0.2">
      <c r="A1395" s="291"/>
      <c r="L1395" s="290"/>
    </row>
    <row r="1396" spans="1:12" s="288" customFormat="1" x14ac:dyDescent="0.2">
      <c r="A1396" s="291"/>
      <c r="L1396" s="290"/>
    </row>
    <row r="1397" spans="1:12" s="288" customFormat="1" x14ac:dyDescent="0.2">
      <c r="A1397" s="291"/>
      <c r="L1397" s="290"/>
    </row>
    <row r="1398" spans="1:12" s="288" customFormat="1" x14ac:dyDescent="0.2">
      <c r="A1398" s="291"/>
      <c r="L1398" s="290"/>
    </row>
    <row r="1399" spans="1:12" s="288" customFormat="1" x14ac:dyDescent="0.2">
      <c r="A1399" s="291"/>
      <c r="L1399" s="290"/>
    </row>
    <row r="1400" spans="1:12" s="288" customFormat="1" x14ac:dyDescent="0.2">
      <c r="A1400" s="291"/>
      <c r="L1400" s="290"/>
    </row>
    <row r="1401" spans="1:12" s="288" customFormat="1" x14ac:dyDescent="0.2">
      <c r="A1401" s="291"/>
      <c r="L1401" s="290"/>
    </row>
    <row r="1402" spans="1:12" s="288" customFormat="1" x14ac:dyDescent="0.2">
      <c r="A1402" s="291"/>
      <c r="L1402" s="290"/>
    </row>
    <row r="1403" spans="1:12" s="288" customFormat="1" x14ac:dyDescent="0.2">
      <c r="A1403" s="291"/>
      <c r="L1403" s="290"/>
    </row>
    <row r="1404" spans="1:12" s="288" customFormat="1" x14ac:dyDescent="0.2">
      <c r="A1404" s="291"/>
      <c r="L1404" s="290"/>
    </row>
    <row r="1405" spans="1:12" s="288" customFormat="1" x14ac:dyDescent="0.2">
      <c r="A1405" s="291"/>
      <c r="L1405" s="290"/>
    </row>
    <row r="1406" spans="1:12" s="288" customFormat="1" x14ac:dyDescent="0.2">
      <c r="A1406" s="291"/>
      <c r="L1406" s="290"/>
    </row>
    <row r="1407" spans="1:12" s="288" customFormat="1" x14ac:dyDescent="0.2">
      <c r="A1407" s="291"/>
      <c r="L1407" s="290"/>
    </row>
    <row r="1408" spans="1:12" s="288" customFormat="1" x14ac:dyDescent="0.2">
      <c r="A1408" s="291"/>
      <c r="L1408" s="290"/>
    </row>
    <row r="1409" spans="1:12" s="288" customFormat="1" x14ac:dyDescent="0.2">
      <c r="A1409" s="291"/>
      <c r="L1409" s="290"/>
    </row>
    <row r="1410" spans="1:12" s="288" customFormat="1" x14ac:dyDescent="0.2">
      <c r="A1410" s="291"/>
      <c r="L1410" s="290"/>
    </row>
    <row r="1411" spans="1:12" s="288" customFormat="1" x14ac:dyDescent="0.2">
      <c r="A1411" s="291"/>
      <c r="L1411" s="290"/>
    </row>
    <row r="1412" spans="1:12" s="288" customFormat="1" x14ac:dyDescent="0.2">
      <c r="A1412" s="291"/>
      <c r="L1412" s="290"/>
    </row>
    <row r="1413" spans="1:12" s="288" customFormat="1" x14ac:dyDescent="0.2">
      <c r="A1413" s="291"/>
      <c r="L1413" s="290"/>
    </row>
    <row r="1414" spans="1:12" s="288" customFormat="1" x14ac:dyDescent="0.2">
      <c r="A1414" s="291"/>
      <c r="L1414" s="290"/>
    </row>
    <row r="1415" spans="1:12" s="288" customFormat="1" x14ac:dyDescent="0.2">
      <c r="A1415" s="291"/>
      <c r="L1415" s="290"/>
    </row>
    <row r="1416" spans="1:12" s="288" customFormat="1" x14ac:dyDescent="0.2">
      <c r="A1416" s="291"/>
      <c r="L1416" s="290"/>
    </row>
    <row r="1417" spans="1:12" s="288" customFormat="1" x14ac:dyDescent="0.2">
      <c r="A1417" s="291"/>
      <c r="L1417" s="290"/>
    </row>
    <row r="1418" spans="1:12" s="288" customFormat="1" x14ac:dyDescent="0.2">
      <c r="A1418" s="291"/>
      <c r="L1418" s="290"/>
    </row>
    <row r="1419" spans="1:12" s="288" customFormat="1" x14ac:dyDescent="0.2">
      <c r="A1419" s="291"/>
      <c r="L1419" s="290"/>
    </row>
    <row r="1420" spans="1:12" s="288" customFormat="1" x14ac:dyDescent="0.2">
      <c r="A1420" s="291"/>
      <c r="L1420" s="290"/>
    </row>
    <row r="1421" spans="1:12" s="288" customFormat="1" x14ac:dyDescent="0.2">
      <c r="A1421" s="291"/>
      <c r="L1421" s="290"/>
    </row>
    <row r="1422" spans="1:12" s="288" customFormat="1" x14ac:dyDescent="0.2">
      <c r="A1422" s="291"/>
      <c r="L1422" s="290"/>
    </row>
    <row r="1423" spans="1:12" s="288" customFormat="1" x14ac:dyDescent="0.2">
      <c r="A1423" s="291"/>
      <c r="L1423" s="290"/>
    </row>
    <row r="1424" spans="1:12" s="288" customFormat="1" x14ac:dyDescent="0.2">
      <c r="A1424" s="291"/>
      <c r="L1424" s="290"/>
    </row>
    <row r="1425" spans="1:12" s="288" customFormat="1" x14ac:dyDescent="0.2">
      <c r="A1425" s="291"/>
      <c r="L1425" s="290"/>
    </row>
    <row r="1426" spans="1:12" s="288" customFormat="1" x14ac:dyDescent="0.2">
      <c r="A1426" s="291"/>
      <c r="L1426" s="290"/>
    </row>
    <row r="1427" spans="1:12" s="288" customFormat="1" x14ac:dyDescent="0.2">
      <c r="A1427" s="291"/>
      <c r="L1427" s="290"/>
    </row>
    <row r="1428" spans="1:12" s="288" customFormat="1" x14ac:dyDescent="0.2">
      <c r="A1428" s="291"/>
      <c r="L1428" s="290"/>
    </row>
    <row r="1429" spans="1:12" s="288" customFormat="1" x14ac:dyDescent="0.2">
      <c r="A1429" s="291"/>
      <c r="L1429" s="290"/>
    </row>
    <row r="1430" spans="1:12" s="288" customFormat="1" x14ac:dyDescent="0.2">
      <c r="A1430" s="291"/>
      <c r="L1430" s="290"/>
    </row>
    <row r="1431" spans="1:12" s="288" customFormat="1" x14ac:dyDescent="0.2">
      <c r="A1431" s="291"/>
      <c r="L1431" s="290"/>
    </row>
    <row r="1432" spans="1:12" s="288" customFormat="1" x14ac:dyDescent="0.2">
      <c r="A1432" s="291"/>
      <c r="L1432" s="290"/>
    </row>
    <row r="1433" spans="1:12" s="288" customFormat="1" x14ac:dyDescent="0.2">
      <c r="A1433" s="291"/>
      <c r="L1433" s="290"/>
    </row>
    <row r="1434" spans="1:12" s="288" customFormat="1" x14ac:dyDescent="0.2">
      <c r="A1434" s="291"/>
      <c r="L1434" s="290"/>
    </row>
    <row r="1435" spans="1:12" s="288" customFormat="1" x14ac:dyDescent="0.2">
      <c r="A1435" s="291"/>
      <c r="L1435" s="290"/>
    </row>
    <row r="1436" spans="1:12" s="288" customFormat="1" x14ac:dyDescent="0.2">
      <c r="A1436" s="291"/>
      <c r="L1436" s="290"/>
    </row>
    <row r="1437" spans="1:12" s="288" customFormat="1" x14ac:dyDescent="0.2">
      <c r="A1437" s="291"/>
      <c r="L1437" s="290"/>
    </row>
    <row r="1438" spans="1:12" s="288" customFormat="1" x14ac:dyDescent="0.2">
      <c r="A1438" s="291"/>
      <c r="L1438" s="290"/>
    </row>
    <row r="1439" spans="1:12" s="288" customFormat="1" x14ac:dyDescent="0.2">
      <c r="A1439" s="291"/>
      <c r="L1439" s="290"/>
    </row>
    <row r="1440" spans="1:12" s="294" customFormat="1" x14ac:dyDescent="0.2">
      <c r="A1440" s="293"/>
      <c r="L1440" s="296"/>
    </row>
  </sheetData>
  <mergeCells count="850">
    <mergeCell ref="A247:A248"/>
    <mergeCell ref="B247:B248"/>
    <mergeCell ref="C372:C374"/>
    <mergeCell ref="B372:B374"/>
    <mergeCell ref="C342:C343"/>
    <mergeCell ref="B342:B343"/>
    <mergeCell ref="C330:C336"/>
    <mergeCell ref="C423:C429"/>
    <mergeCell ref="M5:M8"/>
    <mergeCell ref="B178:B179"/>
    <mergeCell ref="B180:B181"/>
    <mergeCell ref="L317:L321"/>
    <mergeCell ref="A9:A21"/>
    <mergeCell ref="B9:B21"/>
    <mergeCell ref="A62:A74"/>
    <mergeCell ref="B63:B74"/>
    <mergeCell ref="A75:A87"/>
    <mergeCell ref="B75:B87"/>
    <mergeCell ref="A36:A48"/>
    <mergeCell ref="B36:B48"/>
    <mergeCell ref="A49:A61"/>
    <mergeCell ref="B49:B61"/>
    <mergeCell ref="A88:A90"/>
    <mergeCell ref="B88:B90"/>
    <mergeCell ref="C9:C21"/>
    <mergeCell ref="O62:O74"/>
    <mergeCell ref="C64:C69"/>
    <mergeCell ref="C70:C74"/>
    <mergeCell ref="C75:C87"/>
    <mergeCell ref="O37:O61"/>
    <mergeCell ref="C38:C43"/>
    <mergeCell ref="C44:C48"/>
    <mergeCell ref="C51:C56"/>
    <mergeCell ref="C57:C61"/>
    <mergeCell ref="O124:O242"/>
    <mergeCell ref="C126:C128"/>
    <mergeCell ref="C129:C131"/>
    <mergeCell ref="L132:L133"/>
    <mergeCell ref="N132:N133"/>
    <mergeCell ref="N144:N148"/>
    <mergeCell ref="C146:C148"/>
    <mergeCell ref="C178:C179"/>
    <mergeCell ref="C180:C181"/>
    <mergeCell ref="N192:N193"/>
    <mergeCell ref="C132:C135"/>
    <mergeCell ref="L182:L184"/>
    <mergeCell ref="M1:O1"/>
    <mergeCell ref="M2:O2"/>
    <mergeCell ref="A3:J3"/>
    <mergeCell ref="H4:J4"/>
    <mergeCell ref="A5:A8"/>
    <mergeCell ref="B5:B8"/>
    <mergeCell ref="C5:C8"/>
    <mergeCell ref="D5:D8"/>
    <mergeCell ref="E5:E8"/>
    <mergeCell ref="L5:L8"/>
    <mergeCell ref="N5:N8"/>
    <mergeCell ref="O5:O8"/>
    <mergeCell ref="F7:F8"/>
    <mergeCell ref="G7:I7"/>
    <mergeCell ref="A91:A99"/>
    <mergeCell ref="B91:B99"/>
    <mergeCell ref="C93:C96"/>
    <mergeCell ref="C97:C99"/>
    <mergeCell ref="A100:A102"/>
    <mergeCell ref="B100:B102"/>
    <mergeCell ref="O88:O114"/>
    <mergeCell ref="C101:C102"/>
    <mergeCell ref="A103:A105"/>
    <mergeCell ref="B103:B105"/>
    <mergeCell ref="C103:C105"/>
    <mergeCell ref="A106:A110"/>
    <mergeCell ref="B106:B110"/>
    <mergeCell ref="C106:C108"/>
    <mergeCell ref="C109:C110"/>
    <mergeCell ref="C111:C112"/>
    <mergeCell ref="C113:C114"/>
    <mergeCell ref="A136:A139"/>
    <mergeCell ref="B136:B139"/>
    <mergeCell ref="C136:C139"/>
    <mergeCell ref="L136:L139"/>
    <mergeCell ref="N136:N139"/>
    <mergeCell ref="A115:A119"/>
    <mergeCell ref="B115:B119"/>
    <mergeCell ref="C115:C123"/>
    <mergeCell ref="A124:A129"/>
    <mergeCell ref="B124:B129"/>
    <mergeCell ref="A132:A135"/>
    <mergeCell ref="B132:B135"/>
    <mergeCell ref="A149:A152"/>
    <mergeCell ref="B149:B152"/>
    <mergeCell ref="L149:L152"/>
    <mergeCell ref="N149:N152"/>
    <mergeCell ref="A140:A143"/>
    <mergeCell ref="B140:B143"/>
    <mergeCell ref="C140:C143"/>
    <mergeCell ref="L140:L143"/>
    <mergeCell ref="A144:A148"/>
    <mergeCell ref="B144:B148"/>
    <mergeCell ref="L144:L148"/>
    <mergeCell ref="A153:A155"/>
    <mergeCell ref="B153:B155"/>
    <mergeCell ref="C153:C155"/>
    <mergeCell ref="L153:L155"/>
    <mergeCell ref="N153:N155"/>
    <mergeCell ref="A156:A158"/>
    <mergeCell ref="B156:B158"/>
    <mergeCell ref="C156:C157"/>
    <mergeCell ref="L156:L158"/>
    <mergeCell ref="A174:A175"/>
    <mergeCell ref="B174:B175"/>
    <mergeCell ref="C174:C175"/>
    <mergeCell ref="A176:A177"/>
    <mergeCell ref="B176:B177"/>
    <mergeCell ref="C176:C177"/>
    <mergeCell ref="A159:A161"/>
    <mergeCell ref="B159:B161"/>
    <mergeCell ref="C159:C173"/>
    <mergeCell ref="A162:A164"/>
    <mergeCell ref="B162:B164"/>
    <mergeCell ref="A165:A167"/>
    <mergeCell ref="B165:B167"/>
    <mergeCell ref="A168:A170"/>
    <mergeCell ref="A171:A173"/>
    <mergeCell ref="B171:B173"/>
    <mergeCell ref="A185:A188"/>
    <mergeCell ref="B185:B188"/>
    <mergeCell ref="L185:L188"/>
    <mergeCell ref="N185:N188"/>
    <mergeCell ref="A189:A190"/>
    <mergeCell ref="B189:B190"/>
    <mergeCell ref="L189:L190"/>
    <mergeCell ref="C190:C191"/>
    <mergeCell ref="A182:A184"/>
    <mergeCell ref="B182:B184"/>
    <mergeCell ref="C182:C184"/>
    <mergeCell ref="A197:A198"/>
    <mergeCell ref="B197:B198"/>
    <mergeCell ref="C197:C198"/>
    <mergeCell ref="A199:A201"/>
    <mergeCell ref="B199:B200"/>
    <mergeCell ref="C199:C201"/>
    <mergeCell ref="A192:A194"/>
    <mergeCell ref="B192:B194"/>
    <mergeCell ref="L192:L193"/>
    <mergeCell ref="A195:A196"/>
    <mergeCell ref="B195:B196"/>
    <mergeCell ref="L195:L196"/>
    <mergeCell ref="A211:A213"/>
    <mergeCell ref="B211:B213"/>
    <mergeCell ref="A214:A216"/>
    <mergeCell ref="B214:B216"/>
    <mergeCell ref="A217:A219"/>
    <mergeCell ref="B217:B219"/>
    <mergeCell ref="A202:A203"/>
    <mergeCell ref="B202:B203"/>
    <mergeCell ref="C202:C204"/>
    <mergeCell ref="A204:A207"/>
    <mergeCell ref="B205:B207"/>
    <mergeCell ref="A208:A209"/>
    <mergeCell ref="B208:B209"/>
    <mergeCell ref="A228:A231"/>
    <mergeCell ref="B228:B231"/>
    <mergeCell ref="C228:C231"/>
    <mergeCell ref="L230:L231"/>
    <mergeCell ref="A232:A234"/>
    <mergeCell ref="B232:B234"/>
    <mergeCell ref="C232:C233"/>
    <mergeCell ref="L232:L234"/>
    <mergeCell ref="A220:A222"/>
    <mergeCell ref="B220:B222"/>
    <mergeCell ref="A223:A224"/>
    <mergeCell ref="B223:B224"/>
    <mergeCell ref="C223:C224"/>
    <mergeCell ref="A225:A226"/>
    <mergeCell ref="B225:B226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C235:C236"/>
    <mergeCell ref="A237:A238"/>
    <mergeCell ref="B237:B238"/>
    <mergeCell ref="C237:C238"/>
    <mergeCell ref="A261:A263"/>
    <mergeCell ref="C261:C263"/>
    <mergeCell ref="A264:A267"/>
    <mergeCell ref="B264:B267"/>
    <mergeCell ref="C264:C267"/>
    <mergeCell ref="B268:B275"/>
    <mergeCell ref="C268:C271"/>
    <mergeCell ref="A255:A256"/>
    <mergeCell ref="B255:B256"/>
    <mergeCell ref="C255:C256"/>
    <mergeCell ref="A257:A258"/>
    <mergeCell ref="B257:B258"/>
    <mergeCell ref="A259:A260"/>
    <mergeCell ref="B259:B260"/>
    <mergeCell ref="C259:C260"/>
    <mergeCell ref="A288:A300"/>
    <mergeCell ref="B288:B300"/>
    <mergeCell ref="C288:C300"/>
    <mergeCell ref="A301:A302"/>
    <mergeCell ref="B301:B302"/>
    <mergeCell ref="C301:C302"/>
    <mergeCell ref="C276:C279"/>
    <mergeCell ref="O276:O279"/>
    <mergeCell ref="A280:A287"/>
    <mergeCell ref="B280:B287"/>
    <mergeCell ref="C280:C287"/>
    <mergeCell ref="O281:O283"/>
    <mergeCell ref="O301:O302"/>
    <mergeCell ref="A303:A304"/>
    <mergeCell ref="B303:B304"/>
    <mergeCell ref="C303:C304"/>
    <mergeCell ref="O303:O306"/>
    <mergeCell ref="A305:A306"/>
    <mergeCell ref="B305:B306"/>
    <mergeCell ref="C305:C306"/>
    <mergeCell ref="L305:L306"/>
    <mergeCell ref="N305:N306"/>
    <mergeCell ref="A309:A310"/>
    <mergeCell ref="B309:B310"/>
    <mergeCell ref="C309:C310"/>
    <mergeCell ref="L309:L310"/>
    <mergeCell ref="N309:N310"/>
    <mergeCell ref="O309:O310"/>
    <mergeCell ref="A307:A308"/>
    <mergeCell ref="B307:B308"/>
    <mergeCell ref="C307:C308"/>
    <mergeCell ref="L307:L308"/>
    <mergeCell ref="N307:N308"/>
    <mergeCell ref="O307:O308"/>
    <mergeCell ref="A311:A312"/>
    <mergeCell ref="B311:B312"/>
    <mergeCell ref="C311:C312"/>
    <mergeCell ref="L311:L312"/>
    <mergeCell ref="O311:O314"/>
    <mergeCell ref="A313:A314"/>
    <mergeCell ref="B313:B314"/>
    <mergeCell ref="C313:C314"/>
    <mergeCell ref="L313:L314"/>
    <mergeCell ref="N317:N321"/>
    <mergeCell ref="O317:O321"/>
    <mergeCell ref="A320:A322"/>
    <mergeCell ref="B320:B322"/>
    <mergeCell ref="A315:A316"/>
    <mergeCell ref="B315:B316"/>
    <mergeCell ref="C315:C316"/>
    <mergeCell ref="L315:L316"/>
    <mergeCell ref="N315:N316"/>
    <mergeCell ref="O315:O316"/>
    <mergeCell ref="C321:C322"/>
    <mergeCell ref="A323:A324"/>
    <mergeCell ref="B323:B324"/>
    <mergeCell ref="C323:C324"/>
    <mergeCell ref="B325:B329"/>
    <mergeCell ref="A330:A341"/>
    <mergeCell ref="B330:B341"/>
    <mergeCell ref="A317:A319"/>
    <mergeCell ref="B317:B319"/>
    <mergeCell ref="C327:C329"/>
    <mergeCell ref="O330:O341"/>
    <mergeCell ref="C337:C341"/>
    <mergeCell ref="A344:A345"/>
    <mergeCell ref="B344:B345"/>
    <mergeCell ref="C344:C345"/>
    <mergeCell ref="O344:O345"/>
    <mergeCell ref="A346:A348"/>
    <mergeCell ref="B346:B348"/>
    <mergeCell ref="C346:C348"/>
    <mergeCell ref="L346:L348"/>
    <mergeCell ref="O346:O348"/>
    <mergeCell ref="A349:A352"/>
    <mergeCell ref="B349:B352"/>
    <mergeCell ref="O349:O358"/>
    <mergeCell ref="C350:C352"/>
    <mergeCell ref="A353:A354"/>
    <mergeCell ref="A361:A362"/>
    <mergeCell ref="B361:B362"/>
    <mergeCell ref="O361:O362"/>
    <mergeCell ref="B359:B360"/>
    <mergeCell ref="C359:C360"/>
    <mergeCell ref="C355:C358"/>
    <mergeCell ref="C361:C362"/>
    <mergeCell ref="A363:A365"/>
    <mergeCell ref="B363:B365"/>
    <mergeCell ref="C363:C365"/>
    <mergeCell ref="O364:O365"/>
    <mergeCell ref="B353:B354"/>
    <mergeCell ref="L353:L354"/>
    <mergeCell ref="N353:N354"/>
    <mergeCell ref="B355:B358"/>
    <mergeCell ref="A355:A359"/>
    <mergeCell ref="L368:L369"/>
    <mergeCell ref="O368:O369"/>
    <mergeCell ref="A370:A371"/>
    <mergeCell ref="B370:B371"/>
    <mergeCell ref="C370:C371"/>
    <mergeCell ref="O370:O371"/>
    <mergeCell ref="A366:A367"/>
    <mergeCell ref="B366:B367"/>
    <mergeCell ref="C366:C367"/>
    <mergeCell ref="A368:A369"/>
    <mergeCell ref="B368:B369"/>
    <mergeCell ref="C368:C369"/>
    <mergeCell ref="L385:L386"/>
    <mergeCell ref="N385:N386"/>
    <mergeCell ref="O385:O388"/>
    <mergeCell ref="A387:A388"/>
    <mergeCell ref="B387:B388"/>
    <mergeCell ref="L387:L388"/>
    <mergeCell ref="N387:N388"/>
    <mergeCell ref="A375:A384"/>
    <mergeCell ref="B375:B384"/>
    <mergeCell ref="C375:C384"/>
    <mergeCell ref="A385:A386"/>
    <mergeCell ref="B385:B386"/>
    <mergeCell ref="C385:C388"/>
    <mergeCell ref="A389:A390"/>
    <mergeCell ref="B389:B390"/>
    <mergeCell ref="C389:C390"/>
    <mergeCell ref="N389:N390"/>
    <mergeCell ref="O389:O390"/>
    <mergeCell ref="A391:A392"/>
    <mergeCell ref="B391:B392"/>
    <mergeCell ref="C391:C392"/>
    <mergeCell ref="L391:L392"/>
    <mergeCell ref="N391:N392"/>
    <mergeCell ref="O391:O392"/>
    <mergeCell ref="A393:A394"/>
    <mergeCell ref="B393:B394"/>
    <mergeCell ref="C393:C394"/>
    <mergeCell ref="N393:N394"/>
    <mergeCell ref="O393:O396"/>
    <mergeCell ref="A395:A397"/>
    <mergeCell ref="B395:B397"/>
    <mergeCell ref="C395:C397"/>
    <mergeCell ref="L395:L396"/>
    <mergeCell ref="A398:A399"/>
    <mergeCell ref="B398:B399"/>
    <mergeCell ref="C398:C399"/>
    <mergeCell ref="L398:L399"/>
    <mergeCell ref="N398:N399"/>
    <mergeCell ref="O398:O401"/>
    <mergeCell ref="A400:A401"/>
    <mergeCell ref="B400:B401"/>
    <mergeCell ref="C400:C401"/>
    <mergeCell ref="L400:L401"/>
    <mergeCell ref="A404:A405"/>
    <mergeCell ref="B404:B405"/>
    <mergeCell ref="C404:C405"/>
    <mergeCell ref="L404:L405"/>
    <mergeCell ref="N404:N405"/>
    <mergeCell ref="O404:O405"/>
    <mergeCell ref="N400:N401"/>
    <mergeCell ref="A402:A403"/>
    <mergeCell ref="B402:B403"/>
    <mergeCell ref="C402:C403"/>
    <mergeCell ref="N402:N403"/>
    <mergeCell ref="O402:O403"/>
    <mergeCell ref="A406:A408"/>
    <mergeCell ref="B406:B408"/>
    <mergeCell ref="C406:C408"/>
    <mergeCell ref="L406:L408"/>
    <mergeCell ref="O406:O408"/>
    <mergeCell ref="A409:A410"/>
    <mergeCell ref="B409:B410"/>
    <mergeCell ref="C409:C410"/>
    <mergeCell ref="O409:O410"/>
    <mergeCell ref="A415:A421"/>
    <mergeCell ref="B415:B421"/>
    <mergeCell ref="C415:C421"/>
    <mergeCell ref="O415:O421"/>
    <mergeCell ref="C411:C412"/>
    <mergeCell ref="L411:L412"/>
    <mergeCell ref="O411:O412"/>
    <mergeCell ref="A413:A414"/>
    <mergeCell ref="B413:B414"/>
    <mergeCell ref="C413:C414"/>
    <mergeCell ref="O413:O414"/>
    <mergeCell ref="A423:A429"/>
    <mergeCell ref="B423:B429"/>
    <mergeCell ref="O423:O429"/>
    <mergeCell ref="A431:A433"/>
    <mergeCell ref="B431:B433"/>
    <mergeCell ref="O431:O433"/>
    <mergeCell ref="C432:C433"/>
    <mergeCell ref="A455:A467"/>
    <mergeCell ref="B455:B467"/>
    <mergeCell ref="O455:O467"/>
    <mergeCell ref="C457:C462"/>
    <mergeCell ref="C463:C467"/>
    <mergeCell ref="A468:A475"/>
    <mergeCell ref="B468:B475"/>
    <mergeCell ref="C468:C475"/>
    <mergeCell ref="B434:B441"/>
    <mergeCell ref="O434:O437"/>
    <mergeCell ref="C436:C441"/>
    <mergeCell ref="A442:A454"/>
    <mergeCell ref="B442:B454"/>
    <mergeCell ref="C442:C454"/>
    <mergeCell ref="A476:A482"/>
    <mergeCell ref="B476:B482"/>
    <mergeCell ref="C476:C500"/>
    <mergeCell ref="O476:O496"/>
    <mergeCell ref="A483:A489"/>
    <mergeCell ref="B483:B489"/>
    <mergeCell ref="L483:L489"/>
    <mergeCell ref="A490:A496"/>
    <mergeCell ref="B490:B496"/>
    <mergeCell ref="L490:L496"/>
    <mergeCell ref="A497:A500"/>
    <mergeCell ref="B497:B500"/>
    <mergeCell ref="O497:O500"/>
    <mergeCell ref="A501:A502"/>
    <mergeCell ref="B501:B507"/>
    <mergeCell ref="C501:C502"/>
    <mergeCell ref="L501:L502"/>
    <mergeCell ref="M501:M502"/>
    <mergeCell ref="N501:N502"/>
    <mergeCell ref="O501:O502"/>
    <mergeCell ref="L510:L512"/>
    <mergeCell ref="O510:O512"/>
    <mergeCell ref="A513:A514"/>
    <mergeCell ref="B513:B514"/>
    <mergeCell ref="O513:O520"/>
    <mergeCell ref="A515:A520"/>
    <mergeCell ref="B515:B520"/>
    <mergeCell ref="C515:C520"/>
    <mergeCell ref="A508:A509"/>
    <mergeCell ref="B508:B509"/>
    <mergeCell ref="C508:C509"/>
    <mergeCell ref="A510:A512"/>
    <mergeCell ref="B510:B512"/>
    <mergeCell ref="C510:C512"/>
    <mergeCell ref="A528:A540"/>
    <mergeCell ref="B528:B540"/>
    <mergeCell ref="C528:C540"/>
    <mergeCell ref="A541:A553"/>
    <mergeCell ref="B541:B553"/>
    <mergeCell ref="O541:O553"/>
    <mergeCell ref="C542:C548"/>
    <mergeCell ref="C549:C553"/>
    <mergeCell ref="A521:A522"/>
    <mergeCell ref="B521:B522"/>
    <mergeCell ref="C521:C522"/>
    <mergeCell ref="O521:O522"/>
    <mergeCell ref="A526:A527"/>
    <mergeCell ref="B526:B527"/>
    <mergeCell ref="C526:C527"/>
    <mergeCell ref="O526:O527"/>
    <mergeCell ref="O562:O565"/>
    <mergeCell ref="A568:A580"/>
    <mergeCell ref="B568:B580"/>
    <mergeCell ref="C569:C580"/>
    <mergeCell ref="A581:A585"/>
    <mergeCell ref="B581:B585"/>
    <mergeCell ref="C581:C585"/>
    <mergeCell ref="O581:O585"/>
    <mergeCell ref="A554:A559"/>
    <mergeCell ref="B554:B559"/>
    <mergeCell ref="C554:C559"/>
    <mergeCell ref="A561:A567"/>
    <mergeCell ref="B561:B567"/>
    <mergeCell ref="C561:C567"/>
    <mergeCell ref="O586:O587"/>
    <mergeCell ref="A588:A589"/>
    <mergeCell ref="B588:B589"/>
    <mergeCell ref="C588:C589"/>
    <mergeCell ref="L588:L589"/>
    <mergeCell ref="M588:M589"/>
    <mergeCell ref="N588:N589"/>
    <mergeCell ref="O588:O589"/>
    <mergeCell ref="A586:A587"/>
    <mergeCell ref="B586:B587"/>
    <mergeCell ref="C586:C587"/>
    <mergeCell ref="L586:L587"/>
    <mergeCell ref="M586:M587"/>
    <mergeCell ref="N586:N587"/>
    <mergeCell ref="O590:O591"/>
    <mergeCell ref="A592:A593"/>
    <mergeCell ref="B592:B593"/>
    <mergeCell ref="C592:C593"/>
    <mergeCell ref="L592:L593"/>
    <mergeCell ref="M592:M593"/>
    <mergeCell ref="N592:N593"/>
    <mergeCell ref="O592:O593"/>
    <mergeCell ref="A590:A591"/>
    <mergeCell ref="B590:B591"/>
    <mergeCell ref="C590:C591"/>
    <mergeCell ref="L590:L591"/>
    <mergeCell ref="M590:M591"/>
    <mergeCell ref="N590:N591"/>
    <mergeCell ref="O594:O595"/>
    <mergeCell ref="A596:A597"/>
    <mergeCell ref="B596:B597"/>
    <mergeCell ref="C596:C597"/>
    <mergeCell ref="L596:L597"/>
    <mergeCell ref="O596:O597"/>
    <mergeCell ref="A594:A595"/>
    <mergeCell ref="B594:B595"/>
    <mergeCell ref="C594:C595"/>
    <mergeCell ref="L594:L595"/>
    <mergeCell ref="M594:M595"/>
    <mergeCell ref="N594:N595"/>
    <mergeCell ref="A598:A599"/>
    <mergeCell ref="B598:B599"/>
    <mergeCell ref="C598:C599"/>
    <mergeCell ref="L598:L599"/>
    <mergeCell ref="O598:O599"/>
    <mergeCell ref="A600:A601"/>
    <mergeCell ref="B600:B601"/>
    <mergeCell ref="C600:C601"/>
    <mergeCell ref="L600:L601"/>
    <mergeCell ref="O600:O601"/>
    <mergeCell ref="A602:A603"/>
    <mergeCell ref="B602:B603"/>
    <mergeCell ref="C602:C603"/>
    <mergeCell ref="L602:L603"/>
    <mergeCell ref="O602:O603"/>
    <mergeCell ref="A604:A605"/>
    <mergeCell ref="B604:B605"/>
    <mergeCell ref="C604:C605"/>
    <mergeCell ref="L604:L605"/>
    <mergeCell ref="O604:O605"/>
    <mergeCell ref="O606:O607"/>
    <mergeCell ref="A608:A609"/>
    <mergeCell ref="B608:B609"/>
    <mergeCell ref="C608:C619"/>
    <mergeCell ref="O608:O619"/>
    <mergeCell ref="A624:A633"/>
    <mergeCell ref="B624:B633"/>
    <mergeCell ref="C624:C633"/>
    <mergeCell ref="M624:M633"/>
    <mergeCell ref="N624:N633"/>
    <mergeCell ref="A606:A607"/>
    <mergeCell ref="B606:B607"/>
    <mergeCell ref="C606:C607"/>
    <mergeCell ref="L606:L607"/>
    <mergeCell ref="M606:M607"/>
    <mergeCell ref="N606:N607"/>
    <mergeCell ref="O624:O633"/>
    <mergeCell ref="A634:A642"/>
    <mergeCell ref="B634:B642"/>
    <mergeCell ref="C634:C642"/>
    <mergeCell ref="M634:M676"/>
    <mergeCell ref="N634:N636"/>
    <mergeCell ref="O634:O676"/>
    <mergeCell ref="A643:A645"/>
    <mergeCell ref="B643:B645"/>
    <mergeCell ref="A648:A650"/>
    <mergeCell ref="A677:A678"/>
    <mergeCell ref="B677:B678"/>
    <mergeCell ref="C677:C678"/>
    <mergeCell ref="O677:O678"/>
    <mergeCell ref="A679:A685"/>
    <mergeCell ref="B679:B685"/>
    <mergeCell ref="C679:C685"/>
    <mergeCell ref="O679:O685"/>
    <mergeCell ref="B648:B650"/>
    <mergeCell ref="A653:A655"/>
    <mergeCell ref="B653:B655"/>
    <mergeCell ref="A658:A665"/>
    <mergeCell ref="B658:B665"/>
    <mergeCell ref="A669:A672"/>
    <mergeCell ref="B669:B672"/>
    <mergeCell ref="O697:O704"/>
    <mergeCell ref="A700:A704"/>
    <mergeCell ref="B700:B704"/>
    <mergeCell ref="C700:C704"/>
    <mergeCell ref="A686:A692"/>
    <mergeCell ref="B686:B692"/>
    <mergeCell ref="C686:C692"/>
    <mergeCell ref="O686:O692"/>
    <mergeCell ref="B693:B694"/>
    <mergeCell ref="C693:C696"/>
    <mergeCell ref="B695:B696"/>
    <mergeCell ref="O693:O696"/>
    <mergeCell ref="A705:A709"/>
    <mergeCell ref="B705:B709"/>
    <mergeCell ref="C705:C709"/>
    <mergeCell ref="A710:A713"/>
    <mergeCell ref="B710:B713"/>
    <mergeCell ref="C710:C713"/>
    <mergeCell ref="A697:A699"/>
    <mergeCell ref="B697:B699"/>
    <mergeCell ref="C697:C699"/>
    <mergeCell ref="A723:A726"/>
    <mergeCell ref="B723:B726"/>
    <mergeCell ref="A727:A739"/>
    <mergeCell ref="A740:A752"/>
    <mergeCell ref="B740:B752"/>
    <mergeCell ref="O710:O713"/>
    <mergeCell ref="A714:A717"/>
    <mergeCell ref="B714:B717"/>
    <mergeCell ref="O714:O717"/>
    <mergeCell ref="A718:A720"/>
    <mergeCell ref="B718:B720"/>
    <mergeCell ref="O718:O722"/>
    <mergeCell ref="A721:A722"/>
    <mergeCell ref="B721:B722"/>
    <mergeCell ref="C714:C726"/>
    <mergeCell ref="O723:O725"/>
    <mergeCell ref="O741:O752"/>
    <mergeCell ref="C742:C752"/>
    <mergeCell ref="A753:A754"/>
    <mergeCell ref="B753:B754"/>
    <mergeCell ref="O753:O754"/>
    <mergeCell ref="O755:O767"/>
    <mergeCell ref="A756:A767"/>
    <mergeCell ref="B756:B767"/>
    <mergeCell ref="C757:C762"/>
    <mergeCell ref="C763:C767"/>
    <mergeCell ref="L776:L779"/>
    <mergeCell ref="M776:M779"/>
    <mergeCell ref="N776:N779"/>
    <mergeCell ref="O776:O782"/>
    <mergeCell ref="A783:A786"/>
    <mergeCell ref="B783:B786"/>
    <mergeCell ref="O783:O785"/>
    <mergeCell ref="A768:A775"/>
    <mergeCell ref="B768:B775"/>
    <mergeCell ref="C768:C775"/>
    <mergeCell ref="A776:A779"/>
    <mergeCell ref="B776:B779"/>
    <mergeCell ref="C776:C788"/>
    <mergeCell ref="A787:A788"/>
    <mergeCell ref="B787:B788"/>
    <mergeCell ref="O787:O788"/>
    <mergeCell ref="A790:A793"/>
    <mergeCell ref="B790:B793"/>
    <mergeCell ref="C790:C793"/>
    <mergeCell ref="O790:O792"/>
    <mergeCell ref="A794:A796"/>
    <mergeCell ref="B794:B796"/>
    <mergeCell ref="C794:C796"/>
    <mergeCell ref="O794:O796"/>
    <mergeCell ref="A805:A806"/>
    <mergeCell ref="B805:B806"/>
    <mergeCell ref="O805:O806"/>
    <mergeCell ref="A807:A810"/>
    <mergeCell ref="B807:B810"/>
    <mergeCell ref="O807:O810"/>
    <mergeCell ref="A797:A798"/>
    <mergeCell ref="B797:B798"/>
    <mergeCell ref="C797:C828"/>
    <mergeCell ref="O797:O798"/>
    <mergeCell ref="A799:A801"/>
    <mergeCell ref="B799:B801"/>
    <mergeCell ref="O799:O801"/>
    <mergeCell ref="A802:A804"/>
    <mergeCell ref="B802:B804"/>
    <mergeCell ref="O802:O804"/>
    <mergeCell ref="A819:A820"/>
    <mergeCell ref="B819:B820"/>
    <mergeCell ref="O819:O820"/>
    <mergeCell ref="A821:A822"/>
    <mergeCell ref="B821:B822"/>
    <mergeCell ref="O821:O822"/>
    <mergeCell ref="A811:A814"/>
    <mergeCell ref="B811:B814"/>
    <mergeCell ref="O811:O814"/>
    <mergeCell ref="A815:A818"/>
    <mergeCell ref="B815:B818"/>
    <mergeCell ref="O815:O816"/>
    <mergeCell ref="A829:A841"/>
    <mergeCell ref="B829:B841"/>
    <mergeCell ref="C829:C841"/>
    <mergeCell ref="A842:A854"/>
    <mergeCell ref="B842:B854"/>
    <mergeCell ref="C842:C854"/>
    <mergeCell ref="A823:A825"/>
    <mergeCell ref="B823:B825"/>
    <mergeCell ref="O823:O825"/>
    <mergeCell ref="A826:A828"/>
    <mergeCell ref="B826:B828"/>
    <mergeCell ref="O826:O828"/>
    <mergeCell ref="A861:A862"/>
    <mergeCell ref="B861:B862"/>
    <mergeCell ref="C861:C862"/>
    <mergeCell ref="L861:L862"/>
    <mergeCell ref="N861:N864"/>
    <mergeCell ref="O861:O862"/>
    <mergeCell ref="A855:A860"/>
    <mergeCell ref="B855:B860"/>
    <mergeCell ref="C855:C860"/>
    <mergeCell ref="L855:L859"/>
    <mergeCell ref="N855:N859"/>
    <mergeCell ref="O855:O859"/>
    <mergeCell ref="A865:A877"/>
    <mergeCell ref="B865:B877"/>
    <mergeCell ref="O865:O877"/>
    <mergeCell ref="C867:C872"/>
    <mergeCell ref="C873:C877"/>
    <mergeCell ref="A878:A890"/>
    <mergeCell ref="B878:B890"/>
    <mergeCell ref="C878:C890"/>
    <mergeCell ref="O878:O890"/>
    <mergeCell ref="O930:O942"/>
    <mergeCell ref="C932:C937"/>
    <mergeCell ref="C938:C942"/>
    <mergeCell ref="A891:A903"/>
    <mergeCell ref="B891:B903"/>
    <mergeCell ref="C891:C903"/>
    <mergeCell ref="A904:A916"/>
    <mergeCell ref="B904:B916"/>
    <mergeCell ref="O904:O916"/>
    <mergeCell ref="C906:C911"/>
    <mergeCell ref="C912:C916"/>
    <mergeCell ref="A943:A955"/>
    <mergeCell ref="B943:B955"/>
    <mergeCell ref="C945:C950"/>
    <mergeCell ref="C952:C955"/>
    <mergeCell ref="A956:A968"/>
    <mergeCell ref="B956:B968"/>
    <mergeCell ref="A917:A929"/>
    <mergeCell ref="B917:B929"/>
    <mergeCell ref="C917:C929"/>
    <mergeCell ref="A930:A942"/>
    <mergeCell ref="B930:B942"/>
    <mergeCell ref="A995:A1007"/>
    <mergeCell ref="B995:B1007"/>
    <mergeCell ref="A1008:A1020"/>
    <mergeCell ref="B1008:B1020"/>
    <mergeCell ref="O1008:O1020"/>
    <mergeCell ref="C1009:C1015"/>
    <mergeCell ref="C1016:C1020"/>
    <mergeCell ref="O956:O968"/>
    <mergeCell ref="C958:C963"/>
    <mergeCell ref="C964:C968"/>
    <mergeCell ref="A969:A981"/>
    <mergeCell ref="B969:B981"/>
    <mergeCell ref="A982:A994"/>
    <mergeCell ref="B982:B994"/>
    <mergeCell ref="C982:C994"/>
    <mergeCell ref="O982:O994"/>
    <mergeCell ref="O1033:O1045"/>
    <mergeCell ref="C1034:C1040"/>
    <mergeCell ref="B1035:B1045"/>
    <mergeCell ref="C1041:C1045"/>
    <mergeCell ref="A1046:A1058"/>
    <mergeCell ref="B1046:B1058"/>
    <mergeCell ref="C1055:C1058"/>
    <mergeCell ref="A1021:A1024"/>
    <mergeCell ref="B1021:B1032"/>
    <mergeCell ref="C1022:C1027"/>
    <mergeCell ref="C1028:C1032"/>
    <mergeCell ref="A1033:A1034"/>
    <mergeCell ref="B1033:B1034"/>
    <mergeCell ref="A1059:A1062"/>
    <mergeCell ref="B1059:B1062"/>
    <mergeCell ref="C1059:C1065"/>
    <mergeCell ref="O1059:O1091"/>
    <mergeCell ref="A1066:A1073"/>
    <mergeCell ref="B1066:B1073"/>
    <mergeCell ref="C1066:C1073"/>
    <mergeCell ref="C1074:C1078"/>
    <mergeCell ref="A1079:A1083"/>
    <mergeCell ref="B1079:B1083"/>
    <mergeCell ref="C1079:C1091"/>
    <mergeCell ref="A1084:A1085"/>
    <mergeCell ref="B1084:B1085"/>
    <mergeCell ref="A1086:A1087"/>
    <mergeCell ref="B1086:B1087"/>
    <mergeCell ref="A1088:A1089"/>
    <mergeCell ref="B1088:B1089"/>
    <mergeCell ref="A1090:A1091"/>
    <mergeCell ref="B1090:B1091"/>
    <mergeCell ref="C1092:C1117"/>
    <mergeCell ref="A1116:A1117"/>
    <mergeCell ref="B1116:B1117"/>
    <mergeCell ref="O1092:O1103"/>
    <mergeCell ref="A1094:A1099"/>
    <mergeCell ref="B1094:B1099"/>
    <mergeCell ref="A1100:A1101"/>
    <mergeCell ref="B1100:B1101"/>
    <mergeCell ref="A1102:A1103"/>
    <mergeCell ref="B1102:B1103"/>
    <mergeCell ref="A1114:A1115"/>
    <mergeCell ref="B1114:B1115"/>
    <mergeCell ref="A1104:A1105"/>
    <mergeCell ref="B1104:B1105"/>
    <mergeCell ref="A1106:A1107"/>
    <mergeCell ref="B1106:B1107"/>
    <mergeCell ref="A1108:A1109"/>
    <mergeCell ref="B1108:B1109"/>
    <mergeCell ref="A1092:A1093"/>
    <mergeCell ref="B1092:B1093"/>
    <mergeCell ref="A1173:A1185"/>
    <mergeCell ref="B1173:B1185"/>
    <mergeCell ref="C1173:C1185"/>
    <mergeCell ref="A1186:A1197"/>
    <mergeCell ref="B1186:B1197"/>
    <mergeCell ref="O1186:O1197"/>
    <mergeCell ref="C1187:C1192"/>
    <mergeCell ref="C1193:C1197"/>
    <mergeCell ref="C1122:C1130"/>
    <mergeCell ref="O1122:O1164"/>
    <mergeCell ref="A1131:A1139"/>
    <mergeCell ref="B1131:B1139"/>
    <mergeCell ref="A1148:A1156"/>
    <mergeCell ref="B1148:B1156"/>
    <mergeCell ref="L1148:L1156"/>
    <mergeCell ref="A1122:A1130"/>
    <mergeCell ref="B1122:B1130"/>
    <mergeCell ref="B1215:B1221"/>
    <mergeCell ref="C1222:C1226"/>
    <mergeCell ref="A1227:A1228"/>
    <mergeCell ref="B1227:B1228"/>
    <mergeCell ref="C1227:C1228"/>
    <mergeCell ref="I1229:J1229"/>
    <mergeCell ref="O1198:O1200"/>
    <mergeCell ref="A1199:A1200"/>
    <mergeCell ref="B1199:B1200"/>
    <mergeCell ref="A1201:A1212"/>
    <mergeCell ref="B1201:B1212"/>
    <mergeCell ref="C1201:C1221"/>
    <mergeCell ref="O1201:O1226"/>
    <mergeCell ref="A1213:A1214"/>
    <mergeCell ref="B1213:B1214"/>
    <mergeCell ref="A1215:A1226"/>
    <mergeCell ref="O372:O374"/>
    <mergeCell ref="B1165:B1172"/>
    <mergeCell ref="A1165:A1172"/>
    <mergeCell ref="B243:B244"/>
    <mergeCell ref="C243:C244"/>
    <mergeCell ref="C245:C246"/>
    <mergeCell ref="B245:B246"/>
    <mergeCell ref="B249:B250"/>
    <mergeCell ref="C249:C250"/>
    <mergeCell ref="B251:B252"/>
    <mergeCell ref="C251:C252"/>
    <mergeCell ref="A243:A244"/>
    <mergeCell ref="A245:A246"/>
    <mergeCell ref="A249:A250"/>
    <mergeCell ref="A251:A252"/>
    <mergeCell ref="C253:C254"/>
    <mergeCell ref="A268:A275"/>
    <mergeCell ref="B727:B739"/>
    <mergeCell ref="A1118:A1121"/>
    <mergeCell ref="B1118:B1121"/>
    <mergeCell ref="A1110:A1111"/>
    <mergeCell ref="B1110:B1111"/>
    <mergeCell ref="A1112:A1113"/>
    <mergeCell ref="B1112:B1113"/>
  </mergeCells>
  <pageMargins left="0.25" right="0.25" top="0.75" bottom="0.75" header="0.3" footer="0.3"/>
  <pageSetup paperSize="9" scale="58" fitToHeight="0" orientation="landscape" r:id="rId1"/>
  <headerFooter alignWithMargins="0">
    <oddFooter>Страница &amp;P</oddFooter>
  </headerFooter>
  <rowBreaks count="19" manualBreakCount="19">
    <brk id="59" max="14" man="1"/>
    <brk id="102" max="14" man="1"/>
    <brk id="201" max="14" man="1"/>
    <brk id="248" max="14" man="1"/>
    <brk id="295" max="14" man="1"/>
    <brk id="336" max="14" man="1"/>
    <brk id="413" max="14" man="1"/>
    <brk id="467" max="14" man="1"/>
    <brk id="513" max="14" man="1"/>
    <brk id="554" max="14" man="1"/>
    <brk id="595" max="14" man="1"/>
    <brk id="652" max="14" man="1"/>
    <brk id="699" max="14" man="1"/>
    <brk id="742" max="14" man="1"/>
    <brk id="779" max="14" man="1"/>
    <brk id="818" max="14" man="1"/>
    <brk id="1089" max="14" man="1"/>
    <brk id="1119" max="14" man="1"/>
    <brk id="114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План меропр. 2015-2017</vt:lpstr>
      <vt:lpstr>План меропр. 2018-2030 г. изм. </vt:lpstr>
      <vt:lpstr>на печать</vt:lpstr>
      <vt:lpstr>'на печать'!Заголовки_для_печати</vt:lpstr>
      <vt:lpstr>'План меропр. 2015-2017'!Заголовки_для_печати</vt:lpstr>
      <vt:lpstr>'План меропр. 2018-2030 г. изм. '!Заголовки_для_печати</vt:lpstr>
      <vt:lpstr>'на печать'!Область_печати</vt:lpstr>
      <vt:lpstr>'План меропр. 2015-2017'!Область_печати</vt:lpstr>
      <vt:lpstr>'План меропр. 2018-2030 г. изм.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Н.А.</dc:creator>
  <cp:lastModifiedBy>Administrator</cp:lastModifiedBy>
  <cp:lastPrinted>2019-12-30T02:50:02Z</cp:lastPrinted>
  <dcterms:created xsi:type="dcterms:W3CDTF">2015-04-10T03:45:45Z</dcterms:created>
  <dcterms:modified xsi:type="dcterms:W3CDTF">2020-01-10T06:04:06Z</dcterms:modified>
</cp:coreProperties>
</file>